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75" yWindow="405" windowWidth="15450" windowHeight="11160"/>
  </bookViews>
  <sheets>
    <sheet name="Часть 1" sheetId="9" r:id="rId1"/>
    <sheet name="Часть 2" sheetId="11" r:id="rId2"/>
    <sheet name="Часть 3" sheetId="3" r:id="rId3"/>
  </sheets>
  <definedNames>
    <definedName name="_xlnm._FilterDatabase" localSheetId="1" hidden="1">'Часть 2'!$B$9:$X$314</definedName>
    <definedName name="_xlnm.Print_Area" localSheetId="0">'Часть 1'!$A$1:$U$363</definedName>
    <definedName name="_xlnm.Print_Area" localSheetId="1">'Часть 2'!$A$1:$X$322</definedName>
    <definedName name="Перечень" localSheetId="0">#REF!</definedName>
    <definedName name="Перечень" localSheetId="1">#REF!</definedName>
    <definedName name="Перечень">#REF!</definedName>
    <definedName name="Перечень2" localSheetId="0">#REF!</definedName>
    <definedName name="Перечень2" localSheetId="1">#REF!</definedName>
    <definedName name="Перечень2">#REF!</definedName>
    <definedName name="Перечень3" localSheetId="0">#REF!</definedName>
    <definedName name="Перечень3" localSheetId="1">#REF!</definedName>
    <definedName name="Перечень3">#REF!</definedName>
    <definedName name="побалламммм" localSheetId="1">#REF!</definedName>
    <definedName name="побалламммм">#REF!</definedName>
  </definedNames>
  <calcPr calcId="145621"/>
</workbook>
</file>

<file path=xl/calcChain.xml><?xml version="1.0" encoding="utf-8"?>
<calcChain xmlns="http://schemas.openxmlformats.org/spreadsheetml/2006/main">
  <c r="D128" i="11" l="1"/>
  <c r="P139" i="9"/>
  <c r="S139" i="9"/>
  <c r="D127" i="11"/>
  <c r="D126" i="11"/>
  <c r="P138" i="9"/>
  <c r="S138" i="9"/>
  <c r="K138" i="9"/>
  <c r="S137" i="9"/>
  <c r="P137" i="9"/>
  <c r="K137" i="9"/>
  <c r="E164" i="11"/>
  <c r="D164" i="11" s="1"/>
  <c r="P177" i="9"/>
  <c r="S177" i="9"/>
  <c r="K177" i="9"/>
  <c r="P165" i="9"/>
  <c r="S165" i="9"/>
  <c r="K165" i="9"/>
  <c r="E152" i="11" l="1"/>
  <c r="D152" i="11" s="1"/>
  <c r="E303" i="11"/>
  <c r="D303" i="11" s="1"/>
  <c r="F9" i="11" l="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J140" i="9"/>
  <c r="L140" i="9"/>
  <c r="M140" i="9"/>
  <c r="N140" i="9"/>
  <c r="O140" i="9"/>
  <c r="I140" i="9"/>
  <c r="J132" i="9"/>
  <c r="L132" i="9"/>
  <c r="M132" i="9"/>
  <c r="N132" i="9"/>
  <c r="O132" i="9"/>
  <c r="I132" i="9"/>
  <c r="S131" i="9"/>
  <c r="K131" i="9"/>
  <c r="S136" i="9"/>
  <c r="P136" i="9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D125" i="11" s="1"/>
  <c r="D124" i="11"/>
  <c r="K136" i="9"/>
  <c r="P134" i="9"/>
  <c r="P135" i="9"/>
  <c r="S135" i="9"/>
  <c r="D123" i="11"/>
  <c r="S134" i="9"/>
  <c r="K135" i="9"/>
  <c r="J317" i="9"/>
  <c r="J142" i="9" s="1"/>
  <c r="L317" i="9"/>
  <c r="L142" i="9" s="1"/>
  <c r="M317" i="9"/>
  <c r="M142" i="9" s="1"/>
  <c r="N317" i="9"/>
  <c r="N142" i="9" s="1"/>
  <c r="O317" i="9"/>
  <c r="O142" i="9" s="1"/>
  <c r="Q317" i="9"/>
  <c r="Q142" i="9" s="1"/>
  <c r="R317" i="9"/>
  <c r="I317" i="9"/>
  <c r="I142" i="9" s="1"/>
  <c r="R320" i="9"/>
  <c r="L319" i="9"/>
  <c r="S219" i="9"/>
  <c r="P219" i="9"/>
  <c r="S212" i="9"/>
  <c r="P212" i="9"/>
  <c r="P140" i="9" l="1"/>
  <c r="R142" i="9"/>
  <c r="K265" i="9" l="1"/>
  <c r="S265" i="9"/>
  <c r="P265" i="9"/>
  <c r="E252" i="11"/>
  <c r="D252" i="11" s="1"/>
  <c r="E131" i="11"/>
  <c r="F130" i="11"/>
  <c r="G130" i="11"/>
  <c r="H130" i="11"/>
  <c r="I130" i="11"/>
  <c r="J130" i="11"/>
  <c r="K130" i="11"/>
  <c r="L130" i="11"/>
  <c r="O130" i="11"/>
  <c r="P130" i="11"/>
  <c r="Q130" i="11"/>
  <c r="R130" i="11"/>
  <c r="S130" i="11"/>
  <c r="T130" i="11"/>
  <c r="U130" i="11"/>
  <c r="N130" i="11"/>
  <c r="M130" i="11"/>
  <c r="K299" i="9"/>
  <c r="S173" i="9"/>
  <c r="P173" i="9"/>
  <c r="K173" i="9"/>
  <c r="S297" i="9"/>
  <c r="P297" i="9"/>
  <c r="K297" i="9"/>
  <c r="K280" i="9"/>
  <c r="S280" i="9"/>
  <c r="P280" i="9"/>
  <c r="K303" i="9"/>
  <c r="S303" i="9"/>
  <c r="P303" i="9"/>
  <c r="K157" i="9"/>
  <c r="S157" i="9"/>
  <c r="P157" i="9"/>
  <c r="K156" i="9"/>
  <c r="S156" i="9"/>
  <c r="P156" i="9"/>
  <c r="K171" i="9"/>
  <c r="S171" i="9"/>
  <c r="P171" i="9"/>
  <c r="S176" i="9"/>
  <c r="P176" i="9"/>
  <c r="S179" i="9"/>
  <c r="P179" i="9"/>
  <c r="K179" i="9"/>
  <c r="S261" i="9"/>
  <c r="P261" i="9"/>
  <c r="K261" i="9"/>
  <c r="S240" i="9"/>
  <c r="P240" i="9"/>
  <c r="K240" i="9"/>
  <c r="K176" i="9"/>
  <c r="K145" i="9"/>
  <c r="S145" i="9"/>
  <c r="P145" i="9"/>
  <c r="S180" i="9"/>
  <c r="P180" i="9"/>
  <c r="K180" i="9"/>
  <c r="S204" i="9"/>
  <c r="P204" i="9"/>
  <c r="K204" i="9"/>
  <c r="K194" i="9"/>
  <c r="S194" i="9"/>
  <c r="P194" i="9"/>
  <c r="S241" i="9"/>
  <c r="P241" i="9"/>
  <c r="S245" i="9"/>
  <c r="P245" i="9"/>
  <c r="S244" i="9"/>
  <c r="P244" i="9"/>
  <c r="K244" i="9"/>
  <c r="S163" i="9"/>
  <c r="P163" i="9"/>
  <c r="K163" i="9"/>
  <c r="K170" i="9"/>
  <c r="S170" i="9"/>
  <c r="P170" i="9"/>
  <c r="S314" i="9"/>
  <c r="P314" i="9"/>
  <c r="K314" i="9"/>
  <c r="K196" i="9"/>
  <c r="S196" i="9"/>
  <c r="P196" i="9"/>
  <c r="K295" i="9"/>
  <c r="S295" i="9"/>
  <c r="P295" i="9"/>
  <c r="K275" i="9"/>
  <c r="S275" i="9"/>
  <c r="P275" i="9"/>
  <c r="S159" i="9"/>
  <c r="P159" i="9"/>
  <c r="K159" i="9"/>
  <c r="K209" i="9"/>
  <c r="S209" i="9"/>
  <c r="P209" i="9"/>
  <c r="S208" i="9"/>
  <c r="P208" i="9"/>
  <c r="K208" i="9"/>
  <c r="K207" i="9"/>
  <c r="S207" i="9"/>
  <c r="P207" i="9"/>
  <c r="S289" i="9"/>
  <c r="P289" i="9"/>
  <c r="K289" i="9"/>
  <c r="S247" i="9"/>
  <c r="P247" i="9"/>
  <c r="K264" i="9"/>
  <c r="S264" i="9"/>
  <c r="P264" i="9"/>
  <c r="K268" i="9"/>
  <c r="S268" i="9"/>
  <c r="P268" i="9"/>
  <c r="S311" i="9"/>
  <c r="P311" i="9"/>
  <c r="S307" i="9"/>
  <c r="P307" i="9"/>
  <c r="S306" i="9"/>
  <c r="P306" i="9"/>
  <c r="K306" i="9"/>
  <c r="S217" i="9"/>
  <c r="P217" i="9"/>
  <c r="K214" i="9"/>
  <c r="S214" i="9"/>
  <c r="P214" i="9"/>
  <c r="S224" i="9"/>
  <c r="P224" i="9"/>
  <c r="K224" i="9"/>
  <c r="K182" i="9"/>
  <c r="S182" i="9"/>
  <c r="P182" i="9"/>
  <c r="S316" i="9"/>
  <c r="P316" i="9"/>
  <c r="K316" i="9"/>
  <c r="K243" i="9"/>
  <c r="S243" i="9"/>
  <c r="P243" i="9"/>
  <c r="S168" i="9"/>
  <c r="P168" i="9"/>
  <c r="S172" i="9"/>
  <c r="P172" i="9"/>
  <c r="K172" i="9"/>
  <c r="S305" i="9"/>
  <c r="P305" i="9"/>
  <c r="K305" i="9"/>
  <c r="K307" i="9"/>
  <c r="S155" i="9"/>
  <c r="P155" i="9"/>
  <c r="K155" i="9"/>
  <c r="S298" i="9"/>
  <c r="P298" i="9"/>
  <c r="K298" i="9"/>
  <c r="K186" i="9"/>
  <c r="S186" i="9"/>
  <c r="P186" i="9"/>
  <c r="S153" i="9"/>
  <c r="P153" i="9"/>
  <c r="K153" i="9"/>
  <c r="S215" i="9"/>
  <c r="P215" i="9"/>
  <c r="K215" i="9"/>
  <c r="S184" i="9"/>
  <c r="P184" i="9"/>
  <c r="K184" i="9"/>
  <c r="S255" i="9"/>
  <c r="P255" i="9"/>
  <c r="K255" i="9"/>
  <c r="S313" i="9"/>
  <c r="P313" i="9"/>
  <c r="K313" i="9"/>
  <c r="S162" i="9"/>
  <c r="P162" i="9"/>
  <c r="K162" i="9"/>
  <c r="K311" i="9"/>
  <c r="K181" i="9"/>
  <c r="S181" i="9"/>
  <c r="P181" i="9"/>
  <c r="K239" i="9"/>
  <c r="S239" i="9"/>
  <c r="P239" i="9"/>
  <c r="K266" i="9"/>
  <c r="S266" i="9"/>
  <c r="P266" i="9"/>
  <c r="K315" i="9"/>
  <c r="S315" i="9"/>
  <c r="P315" i="9"/>
  <c r="S310" i="9"/>
  <c r="P310" i="9"/>
  <c r="K310" i="9"/>
  <c r="S221" i="9"/>
  <c r="P221" i="9"/>
  <c r="K221" i="9"/>
  <c r="S254" i="9"/>
  <c r="P254" i="9"/>
  <c r="K254" i="9"/>
  <c r="S235" i="9"/>
  <c r="P235" i="9"/>
  <c r="K235" i="9"/>
  <c r="S291" i="9"/>
  <c r="P291" i="9"/>
  <c r="K291" i="9"/>
  <c r="S238" i="9"/>
  <c r="P238" i="9"/>
  <c r="K238" i="9"/>
  <c r="S151" i="9"/>
  <c r="P151" i="9"/>
  <c r="K151" i="9"/>
  <c r="K168" i="9"/>
  <c r="S228" i="9"/>
  <c r="P228" i="9"/>
  <c r="K228" i="9"/>
  <c r="S191" i="9"/>
  <c r="P191" i="9"/>
  <c r="K191" i="9"/>
  <c r="S271" i="9"/>
  <c r="P271" i="9"/>
  <c r="K271" i="9"/>
  <c r="K175" i="9"/>
  <c r="S175" i="9"/>
  <c r="P175" i="9"/>
  <c r="K158" i="9"/>
  <c r="S158" i="9"/>
  <c r="P158" i="9"/>
  <c r="K219" i="9"/>
  <c r="K205" i="9"/>
  <c r="S205" i="9"/>
  <c r="P205" i="9"/>
  <c r="K210" i="9"/>
  <c r="S210" i="9"/>
  <c r="P210" i="9"/>
  <c r="K267" i="9"/>
  <c r="S267" i="9"/>
  <c r="P267" i="9"/>
  <c r="K225" i="9"/>
  <c r="S225" i="9"/>
  <c r="P225" i="9"/>
  <c r="S270" i="9"/>
  <c r="P270" i="9"/>
  <c r="K270" i="9"/>
  <c r="K178" i="9"/>
  <c r="K288" i="9"/>
  <c r="S288" i="9"/>
  <c r="P288" i="9"/>
  <c r="S304" i="9"/>
  <c r="P304" i="9"/>
  <c r="K304" i="9"/>
  <c r="K227" i="9"/>
  <c r="S227" i="9"/>
  <c r="P227" i="9"/>
  <c r="K212" i="9"/>
  <c r="S248" i="9"/>
  <c r="P248" i="9"/>
  <c r="K248" i="9"/>
  <c r="K259" i="9"/>
  <c r="S259" i="9"/>
  <c r="P259" i="9"/>
  <c r="S213" i="9"/>
  <c r="P213" i="9"/>
  <c r="K213" i="9"/>
  <c r="S147" i="9"/>
  <c r="P147" i="9"/>
  <c r="K147" i="9"/>
  <c r="K169" i="9"/>
  <c r="S169" i="9"/>
  <c r="P169" i="9"/>
  <c r="K236" i="9"/>
  <c r="S236" i="9"/>
  <c r="P236" i="9"/>
  <c r="S195" i="9"/>
  <c r="P195" i="9"/>
  <c r="K195" i="9"/>
  <c r="K293" i="9"/>
  <c r="S293" i="9"/>
  <c r="P293" i="9"/>
  <c r="S262" i="9"/>
  <c r="P262" i="9"/>
  <c r="K262" i="9"/>
  <c r="K256" i="9"/>
  <c r="S256" i="9"/>
  <c r="P256" i="9"/>
  <c r="K183" i="9"/>
  <c r="S183" i="9"/>
  <c r="P183" i="9"/>
  <c r="K253" i="9"/>
  <c r="S253" i="9"/>
  <c r="P253" i="9"/>
  <c r="K187" i="9"/>
  <c r="S187" i="9"/>
  <c r="P187" i="9"/>
  <c r="K294" i="9"/>
  <c r="S294" i="9"/>
  <c r="P294" i="9"/>
  <c r="K272" i="9"/>
  <c r="S272" i="9"/>
  <c r="P272" i="9"/>
  <c r="K232" i="9"/>
  <c r="S232" i="9"/>
  <c r="P232" i="9"/>
  <c r="K257" i="9"/>
  <c r="S257" i="9"/>
  <c r="P257" i="9"/>
  <c r="K233" i="9"/>
  <c r="S233" i="9"/>
  <c r="P233" i="9"/>
  <c r="K273" i="9"/>
  <c r="S273" i="9"/>
  <c r="P273" i="9"/>
  <c r="S312" i="9"/>
  <c r="P312" i="9"/>
  <c r="K312" i="9"/>
  <c r="S149" i="9"/>
  <c r="P149" i="9"/>
  <c r="K149" i="9"/>
  <c r="K287" i="9"/>
  <c r="S287" i="9"/>
  <c r="P287" i="9"/>
  <c r="S309" i="9"/>
  <c r="P309" i="9"/>
  <c r="S308" i="9"/>
  <c r="P308" i="9"/>
  <c r="S302" i="9"/>
  <c r="P302" i="9"/>
  <c r="S300" i="9"/>
  <c r="P300" i="9"/>
  <c r="S296" i="9"/>
  <c r="P296" i="9"/>
  <c r="S292" i="9"/>
  <c r="P292" i="9"/>
  <c r="S286" i="9"/>
  <c r="P286" i="9"/>
  <c r="S285" i="9"/>
  <c r="P285" i="9"/>
  <c r="S284" i="9"/>
  <c r="P284" i="9"/>
  <c r="S283" i="9"/>
  <c r="P283" i="9"/>
  <c r="S282" i="9"/>
  <c r="P282" i="9"/>
  <c r="S281" i="9"/>
  <c r="P281" i="9"/>
  <c r="S279" i="9"/>
  <c r="P279" i="9"/>
  <c r="S278" i="9"/>
  <c r="P278" i="9"/>
  <c r="S277" i="9"/>
  <c r="P277" i="9"/>
  <c r="S276" i="9"/>
  <c r="P276" i="9"/>
  <c r="S274" i="9"/>
  <c r="P274" i="9"/>
  <c r="S269" i="9"/>
  <c r="P269" i="9"/>
  <c r="S260" i="9"/>
  <c r="P260" i="9"/>
  <c r="S258" i="9"/>
  <c r="P258" i="9"/>
  <c r="S197" i="9"/>
  <c r="P197" i="9"/>
  <c r="S198" i="9"/>
  <c r="P198" i="9"/>
  <c r="S199" i="9"/>
  <c r="P199" i="9"/>
  <c r="S200" i="9"/>
  <c r="P200" i="9"/>
  <c r="S201" i="9"/>
  <c r="P201" i="9"/>
  <c r="S202" i="9"/>
  <c r="P202" i="9"/>
  <c r="S203" i="9"/>
  <c r="P203" i="9"/>
  <c r="S211" i="9"/>
  <c r="P211" i="9"/>
  <c r="S206" i="9"/>
  <c r="P206" i="9"/>
  <c r="S193" i="9"/>
  <c r="P193" i="9"/>
  <c r="S144" i="9"/>
  <c r="P144" i="9"/>
  <c r="S146" i="9"/>
  <c r="P146" i="9"/>
  <c r="S148" i="9"/>
  <c r="P148" i="9"/>
  <c r="S150" i="9"/>
  <c r="P150" i="9"/>
  <c r="S178" i="9"/>
  <c r="P178" i="9"/>
  <c r="S174" i="9"/>
  <c r="P174" i="9"/>
  <c r="S167" i="9"/>
  <c r="P167" i="9"/>
  <c r="S166" i="9"/>
  <c r="P166" i="9"/>
  <c r="S164" i="9"/>
  <c r="P164" i="9"/>
  <c r="S161" i="9"/>
  <c r="P161" i="9"/>
  <c r="S160" i="9"/>
  <c r="P160" i="9"/>
  <c r="S154" i="9"/>
  <c r="P154" i="9"/>
  <c r="K161" i="9"/>
  <c r="K250" i="9"/>
  <c r="S250" i="9"/>
  <c r="P250" i="9"/>
  <c r="K226" i="9"/>
  <c r="S226" i="9"/>
  <c r="P226" i="9"/>
  <c r="K302" i="9"/>
  <c r="K251" i="9"/>
  <c r="S251" i="9"/>
  <c r="P251" i="9"/>
  <c r="K190" i="9"/>
  <c r="S190" i="9"/>
  <c r="P190" i="9"/>
  <c r="K308" i="9"/>
  <c r="E296" i="11" l="1"/>
  <c r="D296" i="11" s="1"/>
  <c r="K223" i="9"/>
  <c r="S222" i="9"/>
  <c r="P222" i="9"/>
  <c r="S223" i="9"/>
  <c r="P223" i="9"/>
  <c r="K230" i="9"/>
  <c r="S234" i="9"/>
  <c r="P234" i="9"/>
  <c r="S231" i="9"/>
  <c r="P231" i="9"/>
  <c r="S230" i="9"/>
  <c r="P230" i="9"/>
  <c r="S229" i="9"/>
  <c r="P229" i="9"/>
  <c r="K249" i="9"/>
  <c r="S249" i="9"/>
  <c r="P249" i="9"/>
  <c r="K229" i="9"/>
  <c r="K193" i="9"/>
  <c r="K296" i="9"/>
  <c r="K197" i="9"/>
  <c r="K285" i="9"/>
  <c r="K202" i="9"/>
  <c r="K241" i="9"/>
  <c r="K150" i="9"/>
  <c r="K247" i="9"/>
  <c r="K283" i="9"/>
  <c r="K269" i="9"/>
  <c r="K281" i="9"/>
  <c r="K282" i="9"/>
  <c r="K245" i="9"/>
  <c r="K201" i="9"/>
  <c r="K231" i="9"/>
  <c r="K258" i="9"/>
  <c r="K211" i="9"/>
  <c r="K167" i="9"/>
  <c r="K166" i="9"/>
  <c r="K217" i="9"/>
  <c r="K203" i="9"/>
  <c r="K174" i="9"/>
  <c r="K222" i="9"/>
  <c r="K260" i="9"/>
  <c r="K164" i="9"/>
  <c r="K198" i="9"/>
  <c r="K274" i="9"/>
  <c r="K200" i="9"/>
  <c r="K284" i="9"/>
  <c r="K309" i="9"/>
  <c r="K199" i="9"/>
  <c r="K146" i="9"/>
  <c r="K148" i="9"/>
  <c r="K189" i="9"/>
  <c r="S189" i="9"/>
  <c r="P189" i="9"/>
  <c r="K300" i="9"/>
  <c r="K242" i="9"/>
  <c r="S242" i="9"/>
  <c r="P242" i="9"/>
  <c r="K290" i="9"/>
  <c r="P290" i="9"/>
  <c r="K206" i="9"/>
  <c r="K144" i="9"/>
  <c r="S263" i="9"/>
  <c r="P263" i="9"/>
  <c r="K263" i="9"/>
  <c r="K192" i="9"/>
  <c r="S192" i="9"/>
  <c r="P192" i="9"/>
  <c r="K216" i="9"/>
  <c r="S216" i="9"/>
  <c r="P216" i="9"/>
  <c r="K218" i="9"/>
  <c r="S218" i="9"/>
  <c r="P218" i="9"/>
  <c r="K246" i="9"/>
  <c r="S246" i="9"/>
  <c r="P246" i="9"/>
  <c r="K237" i="9"/>
  <c r="S237" i="9"/>
  <c r="P237" i="9"/>
  <c r="K276" i="9"/>
  <c r="S252" i="9"/>
  <c r="P252" i="9"/>
  <c r="K252" i="9"/>
  <c r="K154" i="9"/>
  <c r="S152" i="9"/>
  <c r="K152" i="9"/>
  <c r="P152" i="9"/>
  <c r="K277" i="9"/>
  <c r="K279" i="9"/>
  <c r="K220" i="9"/>
  <c r="S220" i="9"/>
  <c r="P220" i="9"/>
  <c r="S188" i="9"/>
  <c r="P188" i="9"/>
  <c r="K188" i="9"/>
  <c r="K278" i="9"/>
  <c r="K292" i="9"/>
  <c r="S185" i="9"/>
  <c r="P185" i="9"/>
  <c r="K185" i="9"/>
  <c r="E132" i="11"/>
  <c r="D132" i="11" s="1"/>
  <c r="E133" i="11"/>
  <c r="D133" i="11" s="1"/>
  <c r="E134" i="11"/>
  <c r="D134" i="11" s="1"/>
  <c r="E135" i="11"/>
  <c r="D135" i="11" s="1"/>
  <c r="E136" i="11"/>
  <c r="D136" i="11" s="1"/>
  <c r="E137" i="11"/>
  <c r="D137" i="11" s="1"/>
  <c r="E138" i="11"/>
  <c r="D138" i="11" s="1"/>
  <c r="E139" i="11"/>
  <c r="D139" i="11" s="1"/>
  <c r="E140" i="11"/>
  <c r="D140" i="11" s="1"/>
  <c r="E141" i="11"/>
  <c r="D141" i="11" s="1"/>
  <c r="E142" i="11"/>
  <c r="D142" i="11" s="1"/>
  <c r="E143" i="11"/>
  <c r="D143" i="11" s="1"/>
  <c r="E144" i="11"/>
  <c r="D144" i="11" s="1"/>
  <c r="E145" i="11"/>
  <c r="D145" i="11" s="1"/>
  <c r="E146" i="11"/>
  <c r="D146" i="11" s="1"/>
  <c r="E147" i="11"/>
  <c r="D147" i="11" s="1"/>
  <c r="E148" i="11"/>
  <c r="D148" i="11" s="1"/>
  <c r="E149" i="11"/>
  <c r="D149" i="11" s="1"/>
  <c r="E150" i="11"/>
  <c r="D150" i="11" s="1"/>
  <c r="E151" i="11"/>
  <c r="D151" i="11" s="1"/>
  <c r="E153" i="11"/>
  <c r="D153" i="11" s="1"/>
  <c r="E154" i="11"/>
  <c r="D154" i="11" s="1"/>
  <c r="E155" i="11"/>
  <c r="D155" i="11" s="1"/>
  <c r="E156" i="11"/>
  <c r="D156" i="11" s="1"/>
  <c r="E157" i="11"/>
  <c r="D157" i="11" s="1"/>
  <c r="E158" i="11"/>
  <c r="D158" i="11" s="1"/>
  <c r="E159" i="11"/>
  <c r="D159" i="11" s="1"/>
  <c r="E160" i="11"/>
  <c r="D160" i="11" s="1"/>
  <c r="E161" i="11"/>
  <c r="D161" i="11" s="1"/>
  <c r="E162" i="11"/>
  <c r="D162" i="11" s="1"/>
  <c r="E163" i="11"/>
  <c r="D163" i="11" s="1"/>
  <c r="E165" i="11"/>
  <c r="D165" i="11" s="1"/>
  <c r="E166" i="11"/>
  <c r="D166" i="11" s="1"/>
  <c r="E167" i="11"/>
  <c r="D167" i="11" s="1"/>
  <c r="E168" i="11"/>
  <c r="D168" i="11" s="1"/>
  <c r="E169" i="11"/>
  <c r="D169" i="11" s="1"/>
  <c r="E170" i="11"/>
  <c r="D170" i="11" s="1"/>
  <c r="E171" i="11"/>
  <c r="D171" i="11" s="1"/>
  <c r="E172" i="11"/>
  <c r="D172" i="11" s="1"/>
  <c r="E173" i="11"/>
  <c r="D173" i="11" s="1"/>
  <c r="E174" i="11"/>
  <c r="D174" i="11" s="1"/>
  <c r="E175" i="11"/>
  <c r="D175" i="11" s="1"/>
  <c r="E176" i="11"/>
  <c r="D176" i="11" s="1"/>
  <c r="E177" i="11"/>
  <c r="D177" i="11" s="1"/>
  <c r="E178" i="11"/>
  <c r="D178" i="11" s="1"/>
  <c r="E179" i="11"/>
  <c r="D179" i="11" s="1"/>
  <c r="E180" i="11"/>
  <c r="D180" i="11" s="1"/>
  <c r="E181" i="11"/>
  <c r="D181" i="11" s="1"/>
  <c r="E182" i="11"/>
  <c r="D182" i="11" s="1"/>
  <c r="E183" i="11"/>
  <c r="D183" i="11" s="1"/>
  <c r="E184" i="11"/>
  <c r="D184" i="11" s="1"/>
  <c r="E185" i="11"/>
  <c r="D185" i="11" s="1"/>
  <c r="E186" i="11"/>
  <c r="D186" i="11" s="1"/>
  <c r="E187" i="11"/>
  <c r="D187" i="11" s="1"/>
  <c r="E188" i="11"/>
  <c r="D188" i="11" s="1"/>
  <c r="E189" i="11"/>
  <c r="D189" i="11" s="1"/>
  <c r="E190" i="11"/>
  <c r="D190" i="11" s="1"/>
  <c r="E191" i="11"/>
  <c r="D191" i="11" s="1"/>
  <c r="E192" i="11"/>
  <c r="D192" i="11" s="1"/>
  <c r="E193" i="11"/>
  <c r="D193" i="11" s="1"/>
  <c r="E194" i="11"/>
  <c r="D194" i="11" s="1"/>
  <c r="E195" i="11"/>
  <c r="D195" i="11" s="1"/>
  <c r="E196" i="11"/>
  <c r="D196" i="11" s="1"/>
  <c r="E197" i="11"/>
  <c r="D197" i="11" s="1"/>
  <c r="E198" i="11"/>
  <c r="D198" i="11" s="1"/>
  <c r="E199" i="11"/>
  <c r="D199" i="11" s="1"/>
  <c r="E200" i="11"/>
  <c r="D200" i="11" s="1"/>
  <c r="E201" i="11"/>
  <c r="D201" i="11" s="1"/>
  <c r="E202" i="11"/>
  <c r="D202" i="11" s="1"/>
  <c r="E203" i="11"/>
  <c r="D203" i="11" s="1"/>
  <c r="E204" i="11"/>
  <c r="D204" i="11" s="1"/>
  <c r="E205" i="11"/>
  <c r="D205" i="11" s="1"/>
  <c r="E206" i="11"/>
  <c r="D206" i="11" s="1"/>
  <c r="E207" i="11"/>
  <c r="D207" i="11" s="1"/>
  <c r="E208" i="11"/>
  <c r="D208" i="11" s="1"/>
  <c r="E209" i="11"/>
  <c r="D209" i="11" s="1"/>
  <c r="E210" i="11"/>
  <c r="D210" i="11" s="1"/>
  <c r="E211" i="11"/>
  <c r="D211" i="11" s="1"/>
  <c r="E212" i="11"/>
  <c r="D212" i="11" s="1"/>
  <c r="E213" i="11"/>
  <c r="D213" i="11" s="1"/>
  <c r="E214" i="11"/>
  <c r="D214" i="11" s="1"/>
  <c r="E215" i="11"/>
  <c r="D215" i="11" s="1"/>
  <c r="E216" i="11"/>
  <c r="D216" i="11" s="1"/>
  <c r="E217" i="11"/>
  <c r="D217" i="11" s="1"/>
  <c r="E218" i="11"/>
  <c r="D218" i="11" s="1"/>
  <c r="E219" i="11"/>
  <c r="D219" i="11" s="1"/>
  <c r="E220" i="11"/>
  <c r="D220" i="11" s="1"/>
  <c r="E221" i="11"/>
  <c r="D221" i="11" s="1"/>
  <c r="E222" i="11"/>
  <c r="D222" i="11" s="1"/>
  <c r="E223" i="11"/>
  <c r="D223" i="11" s="1"/>
  <c r="E224" i="11"/>
  <c r="D224" i="11" s="1"/>
  <c r="E225" i="11"/>
  <c r="D225" i="11" s="1"/>
  <c r="E226" i="11"/>
  <c r="D226" i="11" s="1"/>
  <c r="E227" i="11"/>
  <c r="D227" i="11" s="1"/>
  <c r="E228" i="11"/>
  <c r="D228" i="11" s="1"/>
  <c r="E229" i="11"/>
  <c r="D229" i="11" s="1"/>
  <c r="E230" i="11"/>
  <c r="D230" i="11" s="1"/>
  <c r="E231" i="11"/>
  <c r="D231" i="11" s="1"/>
  <c r="E232" i="11"/>
  <c r="D232" i="11" s="1"/>
  <c r="E233" i="11"/>
  <c r="D233" i="11" s="1"/>
  <c r="E234" i="11"/>
  <c r="D234" i="11" s="1"/>
  <c r="E235" i="11"/>
  <c r="D235" i="11" s="1"/>
  <c r="E236" i="11"/>
  <c r="D236" i="11" s="1"/>
  <c r="E237" i="11"/>
  <c r="D237" i="11" s="1"/>
  <c r="E238" i="11"/>
  <c r="D238" i="11" s="1"/>
  <c r="E239" i="11"/>
  <c r="D239" i="11" s="1"/>
  <c r="E240" i="11"/>
  <c r="D240" i="11" s="1"/>
  <c r="E241" i="11"/>
  <c r="D241" i="11" s="1"/>
  <c r="E242" i="11"/>
  <c r="D242" i="11" s="1"/>
  <c r="E243" i="11"/>
  <c r="D243" i="11" s="1"/>
  <c r="E244" i="11"/>
  <c r="D244" i="11" s="1"/>
  <c r="E245" i="11"/>
  <c r="D245" i="11" s="1"/>
  <c r="E246" i="11"/>
  <c r="D246" i="11" s="1"/>
  <c r="E247" i="11"/>
  <c r="D247" i="11" s="1"/>
  <c r="E248" i="11"/>
  <c r="D248" i="11" s="1"/>
  <c r="E249" i="11"/>
  <c r="D249" i="11" s="1"/>
  <c r="E250" i="11"/>
  <c r="D250" i="11" s="1"/>
  <c r="E251" i="11"/>
  <c r="D251" i="11" s="1"/>
  <c r="E253" i="11"/>
  <c r="D253" i="11" s="1"/>
  <c r="E254" i="11"/>
  <c r="D254" i="11" s="1"/>
  <c r="E255" i="11"/>
  <c r="D255" i="11" s="1"/>
  <c r="E256" i="11"/>
  <c r="D256" i="11" s="1"/>
  <c r="E257" i="11"/>
  <c r="D257" i="11" s="1"/>
  <c r="E258" i="11"/>
  <c r="D258" i="11" s="1"/>
  <c r="E259" i="11"/>
  <c r="D259" i="11" s="1"/>
  <c r="E260" i="11"/>
  <c r="D260" i="11" s="1"/>
  <c r="E261" i="11"/>
  <c r="D261" i="11" s="1"/>
  <c r="E262" i="11"/>
  <c r="D262" i="11" s="1"/>
  <c r="E263" i="11"/>
  <c r="D263" i="11" s="1"/>
  <c r="E264" i="11"/>
  <c r="D264" i="11" s="1"/>
  <c r="E265" i="11"/>
  <c r="D265" i="11" s="1"/>
  <c r="E266" i="11"/>
  <c r="D266" i="11" s="1"/>
  <c r="E267" i="11"/>
  <c r="D267" i="11" s="1"/>
  <c r="E268" i="11"/>
  <c r="D268" i="11" s="1"/>
  <c r="E269" i="11"/>
  <c r="D269" i="11" s="1"/>
  <c r="E270" i="11"/>
  <c r="D270" i="11" s="1"/>
  <c r="E271" i="11"/>
  <c r="D271" i="11" s="1"/>
  <c r="E272" i="11"/>
  <c r="D272" i="11" s="1"/>
  <c r="E273" i="11"/>
  <c r="D273" i="11" s="1"/>
  <c r="E274" i="11"/>
  <c r="D274" i="11" s="1"/>
  <c r="E275" i="11"/>
  <c r="D275" i="11" s="1"/>
  <c r="E276" i="11"/>
  <c r="D276" i="11" s="1"/>
  <c r="E277" i="11"/>
  <c r="D277" i="11" s="1"/>
  <c r="E278" i="11"/>
  <c r="D278" i="11" s="1"/>
  <c r="E279" i="11"/>
  <c r="D279" i="11" s="1"/>
  <c r="E280" i="11"/>
  <c r="D280" i="11" s="1"/>
  <c r="E281" i="11"/>
  <c r="D281" i="11" s="1"/>
  <c r="E282" i="11"/>
  <c r="D282" i="11" s="1"/>
  <c r="E283" i="11"/>
  <c r="D283" i="11" s="1"/>
  <c r="E284" i="11"/>
  <c r="D284" i="11" s="1"/>
  <c r="E285" i="11"/>
  <c r="D285" i="11" s="1"/>
  <c r="E286" i="11"/>
  <c r="D286" i="11" s="1"/>
  <c r="E287" i="11"/>
  <c r="D287" i="11" s="1"/>
  <c r="E288" i="11"/>
  <c r="D288" i="11" s="1"/>
  <c r="E289" i="11"/>
  <c r="D289" i="11" s="1"/>
  <c r="E290" i="11"/>
  <c r="D290" i="11" s="1"/>
  <c r="E291" i="11"/>
  <c r="D291" i="11" s="1"/>
  <c r="E292" i="11"/>
  <c r="D292" i="11" s="1"/>
  <c r="E293" i="11"/>
  <c r="D293" i="11" s="1"/>
  <c r="E294" i="11"/>
  <c r="D294" i="11" s="1"/>
  <c r="E295" i="11"/>
  <c r="D295" i="11" s="1"/>
  <c r="E297" i="11"/>
  <c r="D297" i="11" s="1"/>
  <c r="E298" i="11"/>
  <c r="D298" i="11" s="1"/>
  <c r="E299" i="11"/>
  <c r="D299" i="11" s="1"/>
  <c r="E300" i="11"/>
  <c r="D300" i="11" s="1"/>
  <c r="E301" i="11"/>
  <c r="D301" i="11" s="1"/>
  <c r="E302" i="11"/>
  <c r="D302" i="11" s="1"/>
  <c r="S290" i="9"/>
  <c r="K286" i="9"/>
  <c r="D131" i="11" l="1"/>
  <c r="E130" i="11"/>
  <c r="D130" i="11" s="1"/>
  <c r="K301" i="9" l="1"/>
  <c r="K317" i="9" s="1"/>
  <c r="K142" i="9" s="1"/>
  <c r="D115" i="11" l="1"/>
  <c r="K17" i="9"/>
  <c r="P17" i="9"/>
  <c r="K18" i="9"/>
  <c r="P18" i="9"/>
  <c r="K19" i="9"/>
  <c r="P19" i="9"/>
  <c r="K20" i="9"/>
  <c r="P20" i="9"/>
  <c r="K21" i="9"/>
  <c r="P21" i="9"/>
  <c r="K22" i="9"/>
  <c r="P22" i="9"/>
  <c r="K23" i="9"/>
  <c r="P23" i="9"/>
  <c r="K24" i="9"/>
  <c r="P24" i="9"/>
  <c r="K25" i="9"/>
  <c r="P25" i="9"/>
  <c r="K26" i="9"/>
  <c r="P26" i="9"/>
  <c r="K27" i="9"/>
  <c r="P27" i="9"/>
  <c r="K28" i="9"/>
  <c r="P28" i="9"/>
  <c r="K29" i="9"/>
  <c r="P29" i="9"/>
  <c r="K30" i="9"/>
  <c r="P30" i="9"/>
  <c r="P31" i="9"/>
  <c r="K32" i="9"/>
  <c r="P32" i="9"/>
  <c r="K33" i="9"/>
  <c r="P33" i="9"/>
  <c r="K34" i="9"/>
  <c r="P34" i="9"/>
  <c r="K35" i="9"/>
  <c r="P35" i="9"/>
  <c r="K36" i="9"/>
  <c r="P36" i="9"/>
  <c r="K37" i="9"/>
  <c r="P37" i="9"/>
  <c r="K38" i="9"/>
  <c r="P38" i="9"/>
  <c r="K39" i="9"/>
  <c r="P39" i="9"/>
  <c r="K40" i="9"/>
  <c r="P40" i="9"/>
  <c r="K41" i="9"/>
  <c r="P41" i="9"/>
  <c r="K42" i="9"/>
  <c r="P42" i="9"/>
  <c r="K43" i="9"/>
  <c r="P43" i="9"/>
  <c r="K44" i="9"/>
  <c r="P44" i="9"/>
  <c r="K45" i="9"/>
  <c r="P45" i="9"/>
  <c r="K46" i="9"/>
  <c r="P46" i="9"/>
  <c r="K47" i="9"/>
  <c r="P47" i="9"/>
  <c r="K48" i="9"/>
  <c r="P48" i="9"/>
  <c r="P49" i="9"/>
  <c r="K50" i="9"/>
  <c r="P50" i="9"/>
  <c r="K51" i="9"/>
  <c r="P51" i="9"/>
  <c r="K52" i="9"/>
  <c r="P52" i="9"/>
  <c r="K53" i="9"/>
  <c r="P53" i="9"/>
  <c r="K54" i="9"/>
  <c r="P54" i="9"/>
  <c r="K55" i="9"/>
  <c r="P55" i="9"/>
  <c r="K56" i="9"/>
  <c r="P56" i="9"/>
  <c r="K57" i="9"/>
  <c r="P57" i="9"/>
  <c r="K58" i="9"/>
  <c r="P58" i="9"/>
  <c r="K59" i="9"/>
  <c r="P59" i="9"/>
  <c r="K60" i="9"/>
  <c r="P60" i="9"/>
  <c r="K61" i="9"/>
  <c r="P61" i="9"/>
  <c r="K62" i="9"/>
  <c r="P62" i="9"/>
  <c r="K63" i="9"/>
  <c r="P63" i="9"/>
  <c r="K64" i="9"/>
  <c r="P64" i="9"/>
  <c r="K65" i="9"/>
  <c r="P65" i="9"/>
  <c r="K66" i="9"/>
  <c r="P66" i="9"/>
  <c r="K67" i="9"/>
  <c r="P67" i="9"/>
  <c r="K68" i="9"/>
  <c r="P68" i="9"/>
  <c r="K69" i="9"/>
  <c r="P69" i="9"/>
  <c r="K70" i="9"/>
  <c r="P70" i="9"/>
  <c r="K71" i="9"/>
  <c r="P71" i="9"/>
  <c r="K72" i="9"/>
  <c r="P72" i="9"/>
  <c r="K73" i="9"/>
  <c r="P73" i="9"/>
  <c r="K74" i="9"/>
  <c r="P74" i="9"/>
  <c r="K75" i="9"/>
  <c r="P75" i="9"/>
  <c r="K76" i="9"/>
  <c r="P76" i="9"/>
  <c r="K77" i="9"/>
  <c r="P77" i="9"/>
  <c r="K78" i="9"/>
  <c r="P78" i="9"/>
  <c r="K79" i="9"/>
  <c r="P79" i="9"/>
  <c r="P80" i="9"/>
  <c r="K81" i="9"/>
  <c r="P81" i="9"/>
  <c r="K82" i="9"/>
  <c r="P82" i="9"/>
  <c r="K83" i="9"/>
  <c r="P83" i="9"/>
  <c r="K84" i="9"/>
  <c r="P84" i="9"/>
  <c r="K85" i="9"/>
  <c r="P85" i="9"/>
  <c r="K86" i="9"/>
  <c r="P86" i="9"/>
  <c r="K87" i="9"/>
  <c r="P87" i="9"/>
  <c r="K88" i="9"/>
  <c r="P88" i="9"/>
  <c r="K89" i="9"/>
  <c r="P89" i="9"/>
  <c r="K90" i="9"/>
  <c r="P90" i="9"/>
  <c r="K91" i="9"/>
  <c r="P91" i="9"/>
  <c r="K92" i="9"/>
  <c r="P92" i="9"/>
  <c r="K93" i="9"/>
  <c r="P93" i="9"/>
  <c r="K94" i="9"/>
  <c r="P94" i="9"/>
  <c r="K95" i="9"/>
  <c r="P95" i="9"/>
  <c r="K96" i="9"/>
  <c r="M96" i="9"/>
  <c r="P96" i="9" s="1"/>
  <c r="K97" i="9"/>
  <c r="P97" i="9"/>
  <c r="K98" i="9"/>
  <c r="P98" i="9"/>
  <c r="K99" i="9"/>
  <c r="P99" i="9"/>
  <c r="K100" i="9"/>
  <c r="P100" i="9"/>
  <c r="K101" i="9"/>
  <c r="P101" i="9"/>
  <c r="J102" i="9"/>
  <c r="K102" i="9"/>
  <c r="P102" i="9"/>
  <c r="K103" i="9"/>
  <c r="P103" i="9"/>
  <c r="K104" i="9"/>
  <c r="P104" i="9"/>
  <c r="K105" i="9"/>
  <c r="P105" i="9"/>
  <c r="K106" i="9"/>
  <c r="P106" i="9"/>
  <c r="K107" i="9"/>
  <c r="P107" i="9"/>
  <c r="J108" i="9"/>
  <c r="K108" i="9"/>
  <c r="P108" i="9"/>
  <c r="K109" i="9"/>
  <c r="P109" i="9"/>
  <c r="K110" i="9"/>
  <c r="P110" i="9"/>
  <c r="I111" i="9"/>
  <c r="K111" i="9"/>
  <c r="P111" i="9"/>
  <c r="K112" i="9"/>
  <c r="P112" i="9"/>
  <c r="K113" i="9"/>
  <c r="P113" i="9"/>
  <c r="K114" i="9"/>
  <c r="P114" i="9"/>
  <c r="K115" i="9"/>
  <c r="P115" i="9"/>
  <c r="K116" i="9"/>
  <c r="P116" i="9"/>
  <c r="K117" i="9"/>
  <c r="P117" i="9"/>
  <c r="P118" i="9"/>
  <c r="K119" i="9"/>
  <c r="P119" i="9"/>
  <c r="K120" i="9"/>
  <c r="P120" i="9"/>
  <c r="K121" i="9"/>
  <c r="P121" i="9"/>
  <c r="K122" i="9"/>
  <c r="P122" i="9"/>
  <c r="K123" i="9"/>
  <c r="P123" i="9"/>
  <c r="K124" i="9"/>
  <c r="P124" i="9"/>
  <c r="K125" i="9"/>
  <c r="P125" i="9"/>
  <c r="S124" i="9"/>
  <c r="S125" i="9"/>
  <c r="D10" i="11"/>
  <c r="E11" i="11"/>
  <c r="D12" i="11"/>
  <c r="E13" i="11"/>
  <c r="D13" i="11" s="1"/>
  <c r="E14" i="11"/>
  <c r="D14" i="11" s="1"/>
  <c r="E15" i="11"/>
  <c r="D15" i="11" s="1"/>
  <c r="E16" i="11"/>
  <c r="D16" i="11" s="1"/>
  <c r="E17" i="11"/>
  <c r="D17" i="11" s="1"/>
  <c r="D18" i="11"/>
  <c r="E19" i="11"/>
  <c r="D19" i="11" s="1"/>
  <c r="E20" i="11"/>
  <c r="D20" i="11" s="1"/>
  <c r="E21" i="11"/>
  <c r="D21" i="11" s="1"/>
  <c r="E22" i="11"/>
  <c r="D22" i="11" s="1"/>
  <c r="E23" i="11"/>
  <c r="D23" i="11" s="1"/>
  <c r="E24" i="11"/>
  <c r="D24" i="11" s="1"/>
  <c r="E25" i="11"/>
  <c r="D25" i="11" s="1"/>
  <c r="E26" i="11"/>
  <c r="D26" i="11" s="1"/>
  <c r="E27" i="11"/>
  <c r="D27" i="11" s="1"/>
  <c r="E28" i="11"/>
  <c r="D28" i="11" s="1"/>
  <c r="E29" i="11"/>
  <c r="D29" i="11" s="1"/>
  <c r="E30" i="11"/>
  <c r="D30" i="11" s="1"/>
  <c r="E31" i="11"/>
  <c r="D31" i="11" s="1"/>
  <c r="E32" i="11"/>
  <c r="D32" i="11" s="1"/>
  <c r="E33" i="11"/>
  <c r="D33" i="11" s="1"/>
  <c r="E34" i="11"/>
  <c r="D34" i="11" s="1"/>
  <c r="E35" i="11"/>
  <c r="D35" i="11" s="1"/>
  <c r="E36" i="11"/>
  <c r="D36" i="11" s="1"/>
  <c r="E37" i="11"/>
  <c r="D37" i="11" s="1"/>
  <c r="E38" i="11"/>
  <c r="D38" i="11" s="1"/>
  <c r="E39" i="11"/>
  <c r="D39" i="11" s="1"/>
  <c r="E40" i="11"/>
  <c r="D40" i="11" s="1"/>
  <c r="E41" i="11"/>
  <c r="D41" i="11" s="1"/>
  <c r="E42" i="11"/>
  <c r="D42" i="11" s="1"/>
  <c r="E43" i="11"/>
  <c r="D43" i="11" s="1"/>
  <c r="E44" i="11"/>
  <c r="D44" i="11" s="1"/>
  <c r="E45" i="11"/>
  <c r="D45" i="11" s="1"/>
  <c r="E46" i="11"/>
  <c r="D46" i="11" s="1"/>
  <c r="E47" i="11"/>
  <c r="D47" i="11" s="1"/>
  <c r="E48" i="11"/>
  <c r="D48" i="11" s="1"/>
  <c r="D49" i="11"/>
  <c r="D50" i="11"/>
  <c r="E51" i="11"/>
  <c r="D51" i="11" s="1"/>
  <c r="D52" i="11"/>
  <c r="E53" i="11"/>
  <c r="D53" i="11" s="1"/>
  <c r="E54" i="11"/>
  <c r="D54" i="11" s="1"/>
  <c r="E55" i="11"/>
  <c r="D55" i="11" s="1"/>
  <c r="E56" i="11"/>
  <c r="D56" i="11" s="1"/>
  <c r="E57" i="11"/>
  <c r="D57" i="11" s="1"/>
  <c r="E58" i="11"/>
  <c r="D58" i="11" s="1"/>
  <c r="E59" i="11"/>
  <c r="D59" i="11" s="1"/>
  <c r="D60" i="11"/>
  <c r="E61" i="11"/>
  <c r="D61" i="11" s="1"/>
  <c r="E62" i="11"/>
  <c r="D62" i="11" s="1"/>
  <c r="E63" i="11"/>
  <c r="D63" i="11" s="1"/>
  <c r="E64" i="11"/>
  <c r="D64" i="11" s="1"/>
  <c r="E65" i="11"/>
  <c r="D65" i="11" s="1"/>
  <c r="E66" i="11"/>
  <c r="D66" i="11" s="1"/>
  <c r="E67" i="11"/>
  <c r="D67" i="11" s="1"/>
  <c r="E68" i="11"/>
  <c r="D68" i="11" s="1"/>
  <c r="E69" i="11"/>
  <c r="D69" i="11" s="1"/>
  <c r="E70" i="11"/>
  <c r="D70" i="11" s="1"/>
  <c r="E71" i="11"/>
  <c r="D71" i="11" s="1"/>
  <c r="E72" i="11"/>
  <c r="D72" i="11" s="1"/>
  <c r="E73" i="11"/>
  <c r="D73" i="11" s="1"/>
  <c r="E74" i="11"/>
  <c r="D74" i="11" s="1"/>
  <c r="E75" i="11"/>
  <c r="D75" i="11" s="1"/>
  <c r="E76" i="11"/>
  <c r="D76" i="11" s="1"/>
  <c r="E77" i="11"/>
  <c r="D77" i="11" s="1"/>
  <c r="E78" i="11"/>
  <c r="D78" i="11" s="1"/>
  <c r="E79" i="11"/>
  <c r="D79" i="11" s="1"/>
  <c r="E80" i="11"/>
  <c r="D80" i="11" s="1"/>
  <c r="E81" i="11"/>
  <c r="D81" i="11" s="1"/>
  <c r="E82" i="11"/>
  <c r="D82" i="11" s="1"/>
  <c r="E83" i="11"/>
  <c r="D83" i="11" s="1"/>
  <c r="E84" i="11"/>
  <c r="D84" i="11" s="1"/>
  <c r="E85" i="11"/>
  <c r="D85" i="11" s="1"/>
  <c r="E86" i="11"/>
  <c r="D86" i="11" s="1"/>
  <c r="E87" i="11"/>
  <c r="D87" i="11" s="1"/>
  <c r="D88" i="11"/>
  <c r="E89" i="11"/>
  <c r="D89" i="11" s="1"/>
  <c r="E90" i="11"/>
  <c r="D90" i="11" s="1"/>
  <c r="E91" i="11"/>
  <c r="D91" i="11" s="1"/>
  <c r="E92" i="11"/>
  <c r="D92" i="11" s="1"/>
  <c r="E93" i="11"/>
  <c r="D93" i="11" s="1"/>
  <c r="E94" i="11"/>
  <c r="D94" i="11" s="1"/>
  <c r="E95" i="11"/>
  <c r="D95" i="11" s="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6" i="11"/>
  <c r="D117" i="11"/>
  <c r="D118" i="11"/>
  <c r="D119" i="11"/>
  <c r="D120" i="11"/>
  <c r="D121" i="11"/>
  <c r="D122" i="11"/>
  <c r="D11" i="11" l="1"/>
  <c r="E9" i="11"/>
  <c r="D9" i="11" s="1"/>
  <c r="T9" i="11"/>
  <c r="U9" i="11"/>
  <c r="Q140" i="9"/>
  <c r="R140" i="9"/>
  <c r="K134" i="9"/>
  <c r="K140" i="9" s="1"/>
  <c r="E309" i="11" l="1"/>
  <c r="F309" i="11"/>
  <c r="G309" i="11"/>
  <c r="H309" i="11"/>
  <c r="E306" i="11"/>
  <c r="F306" i="11"/>
  <c r="G306" i="11"/>
  <c r="H306" i="11"/>
  <c r="D310" i="11"/>
  <c r="D309" i="11" s="1"/>
  <c r="R309" i="11"/>
  <c r="P309" i="11"/>
  <c r="O309" i="11"/>
  <c r="N309" i="11"/>
  <c r="M309" i="11"/>
  <c r="L309" i="11"/>
  <c r="K309" i="11"/>
  <c r="J309" i="11"/>
  <c r="I309" i="11"/>
  <c r="Q132" i="9"/>
  <c r="R132" i="9"/>
  <c r="L344" i="9"/>
  <c r="R342" i="9"/>
  <c r="L341" i="9"/>
  <c r="R339" i="9"/>
  <c r="L338" i="9"/>
  <c r="R336" i="9"/>
  <c r="P336" i="9"/>
  <c r="O336" i="9"/>
  <c r="N336" i="9"/>
  <c r="M336" i="9"/>
  <c r="L336" i="9"/>
  <c r="K336" i="9"/>
  <c r="J336" i="9"/>
  <c r="I336" i="9"/>
  <c r="S130" i="9"/>
  <c r="P130" i="9"/>
  <c r="K130" i="9"/>
  <c r="Q126" i="9"/>
  <c r="R126" i="9"/>
  <c r="L126" i="9"/>
  <c r="S120" i="9"/>
  <c r="S121" i="9"/>
  <c r="S122" i="9"/>
  <c r="S123" i="9"/>
  <c r="S117" i="9"/>
  <c r="S118" i="9"/>
  <c r="S119" i="9"/>
  <c r="S112" i="9"/>
  <c r="S113" i="9"/>
  <c r="S114" i="9"/>
  <c r="S115" i="9"/>
  <c r="S116" i="9"/>
  <c r="I126" i="9"/>
  <c r="S108" i="9"/>
  <c r="S107" i="9"/>
  <c r="S109" i="9"/>
  <c r="S110" i="9"/>
  <c r="S111" i="9"/>
  <c r="S106" i="9"/>
  <c r="S105" i="9"/>
  <c r="S103" i="9"/>
  <c r="S104" i="9"/>
  <c r="S102" i="9"/>
  <c r="S101" i="9"/>
  <c r="O126" i="9"/>
  <c r="N126" i="9"/>
  <c r="I15" i="9" l="1"/>
  <c r="Q15" i="9"/>
  <c r="J126" i="9"/>
  <c r="S99" i="9"/>
  <c r="S98" i="9"/>
  <c r="D307" i="11" l="1"/>
  <c r="D306" i="11" s="1"/>
  <c r="U306" i="11"/>
  <c r="T306" i="11"/>
  <c r="S306" i="11"/>
  <c r="R306" i="11"/>
  <c r="Q306" i="11"/>
  <c r="P306" i="11"/>
  <c r="O306" i="11"/>
  <c r="N306" i="11"/>
  <c r="M306" i="11"/>
  <c r="L306" i="11"/>
  <c r="K306" i="11"/>
  <c r="J306" i="11"/>
  <c r="I306" i="11"/>
  <c r="P129" i="9"/>
  <c r="K129" i="9"/>
  <c r="S129" i="9"/>
  <c r="S128" i="9"/>
  <c r="P128" i="9"/>
  <c r="P132" i="9" s="1"/>
  <c r="K128" i="9"/>
  <c r="K132" i="9" s="1"/>
  <c r="L333" i="9"/>
  <c r="R331" i="9"/>
  <c r="L330" i="9"/>
  <c r="R328" i="9"/>
  <c r="L327" i="9"/>
  <c r="R325" i="9"/>
  <c r="P325" i="9"/>
  <c r="O325" i="9"/>
  <c r="N325" i="9"/>
  <c r="M325" i="9"/>
  <c r="L325" i="9"/>
  <c r="K325" i="9"/>
  <c r="J325" i="9"/>
  <c r="I325" i="9"/>
  <c r="M126" i="9" l="1"/>
  <c r="M15" i="9" s="1"/>
  <c r="P126" i="9"/>
  <c r="P15" i="9" s="1"/>
  <c r="K126" i="9"/>
  <c r="W79" i="11"/>
  <c r="V79" i="11"/>
  <c r="W76" i="11"/>
  <c r="V76" i="11"/>
  <c r="W67" i="11"/>
  <c r="V67" i="11"/>
  <c r="W62" i="11"/>
  <c r="V62" i="11"/>
  <c r="W52" i="11"/>
  <c r="V52" i="11"/>
  <c r="W45" i="11"/>
  <c r="W9" i="11" s="1"/>
  <c r="V45" i="11"/>
  <c r="V9" i="11" s="1"/>
  <c r="S17" i="9"/>
  <c r="S18" i="9"/>
  <c r="S19" i="9"/>
  <c r="S20" i="9"/>
  <c r="S21" i="9"/>
  <c r="S22" i="9"/>
  <c r="J15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100" i="9"/>
  <c r="L15" i="9"/>
  <c r="N15" i="9"/>
  <c r="O15" i="9"/>
  <c r="R15" i="9"/>
  <c r="X52" i="11" l="1"/>
  <c r="X67" i="11"/>
  <c r="K15" i="9"/>
  <c r="X45" i="11"/>
  <c r="X9" i="11" s="1"/>
  <c r="X62" i="11"/>
  <c r="S23" i="9"/>
  <c r="X79" i="11"/>
  <c r="X76" i="11"/>
  <c r="S301" i="9"/>
  <c r="P301" i="9"/>
  <c r="P299" i="9"/>
  <c r="P317" i="9" s="1"/>
  <c r="P142" i="9" s="1"/>
  <c r="S299" i="9"/>
</calcChain>
</file>

<file path=xl/sharedStrings.xml><?xml version="1.0" encoding="utf-8"?>
<sst xmlns="http://schemas.openxmlformats.org/spreadsheetml/2006/main" count="1521" uniqueCount="400">
  <si>
    <t>№ п/п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</si>
  <si>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</si>
  <si>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</si>
  <si>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</si>
  <si>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</si>
  <si>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</si>
  <si>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</si>
  <si>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</si>
  <si>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</si>
  <si>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</si>
  <si>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</si>
  <si>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</si>
  <si>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</si>
  <si>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</si>
  <si>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</si>
  <si>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</si>
  <si>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</si>
  <si>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</si>
  <si>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</si>
  <si>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</si>
  <si>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</si>
  <si>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</si>
  <si>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</si>
  <si>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Адрес многоквартирного дома (далее - МКД)</t>
  </si>
  <si>
    <t>панели</t>
  </si>
  <si>
    <t>кирпич</t>
  </si>
  <si>
    <t>х</t>
  </si>
  <si>
    <t>Согласовано:</t>
  </si>
  <si>
    <t>Заместитель начальника Главного управления</t>
  </si>
  <si>
    <t xml:space="preserve">и жилищной политики администрации города Твери                                                                                       </t>
  </si>
  <si>
    <t>Часть I. Перечень многоквартирных домов, которые подлежат капитальному ремонту</t>
  </si>
  <si>
    <t>"Государственная жилищная инспекция" Тверской области _________________ А.М. Латышев</t>
  </si>
  <si>
    <t>ед.</t>
  </si>
  <si>
    <t>кв.м.</t>
  </si>
  <si>
    <t>Часть III.  Планируемые показатели выполнения работ по капитальному ремонту многоквартирных домов</t>
  </si>
  <si>
    <t>Количество МКД</t>
  </si>
  <si>
    <t>I квартал</t>
  </si>
  <si>
    <t>II квартал</t>
  </si>
  <si>
    <t>Формирование фонда капитального ремонта многоквартирного дома на специальном счете, владельцем которого является региональный оператор</t>
  </si>
  <si>
    <t xml:space="preserve">Генеральный директор Фонда капитального </t>
  </si>
  <si>
    <t>ремонта многоквартирных домов Тверской области _____________ С.Н.Бойков</t>
  </si>
  <si>
    <t>Приложение к постановлению администрации города Твери</t>
  </si>
  <si>
    <t>улица Ротмистрова, дом 17</t>
  </si>
  <si>
    <t>улица Склизкова, дом 88</t>
  </si>
  <si>
    <t>улица Мичурина, дом 37/23</t>
  </si>
  <si>
    <t>до 1917</t>
  </si>
  <si>
    <t>шлако-блок</t>
  </si>
  <si>
    <t>блоки</t>
  </si>
  <si>
    <t>дерево</t>
  </si>
  <si>
    <t>и жилищной политики администрации города Твери</t>
  </si>
  <si>
    <t>№ п\п</t>
  </si>
  <si>
    <t>Ремонт внутридомовых инженерных систем</t>
  </si>
  <si>
    <t>ремонт фасада</t>
  </si>
  <si>
    <t>ремонт фундамента</t>
  </si>
  <si>
    <t>Разработка проектно-сметной документации</t>
  </si>
  <si>
    <t>Услуги по строительному контролю</t>
  </si>
  <si>
    <t>Всего</t>
  </si>
  <si>
    <t>Всего стоимость капитального ремонта с учетом строит. Контроля и ПСД</t>
  </si>
  <si>
    <t>куб.м.</t>
  </si>
  <si>
    <t>за счет средств областного бюджета Тверской области</t>
  </si>
  <si>
    <t>проспект 50 лет Октября, дом 2, корпус 1</t>
  </si>
  <si>
    <t>проспект 50 лет Октября, дом 44 А</t>
  </si>
  <si>
    <t>двор Пролетарки, дом 47</t>
  </si>
  <si>
    <t>проспект Комсомольский, дом 8</t>
  </si>
  <si>
    <t>проспект Победы, дом 25</t>
  </si>
  <si>
    <t>улица Строителей, дом 8, корпус 2</t>
  </si>
  <si>
    <t>улица Трехсвятская, дом 12</t>
  </si>
  <si>
    <t>улица Фадеева, дом 4</t>
  </si>
  <si>
    <t>проспект Волоколамский, дом 47</t>
  </si>
  <si>
    <t>12.2017</t>
  </si>
  <si>
    <t>проспект Октябрьский, дом 73</t>
  </si>
  <si>
    <t>проспект Октябрьский, дом 49</t>
  </si>
  <si>
    <t>переулок Студенческий,  дом 30А</t>
  </si>
  <si>
    <t>переулок Студенческий, дом 30А</t>
  </si>
  <si>
    <t>улица Маршала Захарова, дом 12</t>
  </si>
  <si>
    <t>улица Ротмистрова, дом 18</t>
  </si>
  <si>
    <t>территория двор Пролетарки, дом 47</t>
  </si>
  <si>
    <t>улица Седова, дом 1 а</t>
  </si>
  <si>
    <t>улица Маршала Захарова, дом 16/17</t>
  </si>
  <si>
    <t>улица Фрунзе, дом 10</t>
  </si>
  <si>
    <t>улица Артюхиной, дом 9 корпус 4</t>
  </si>
  <si>
    <t>улица Хромова, дом 18 корпус 1</t>
  </si>
  <si>
    <t>улица Паши Савельевой, дом 35 корпус 2</t>
  </si>
  <si>
    <t>улица Паши Савельевой, дом 35 корпус 4</t>
  </si>
  <si>
    <t>улица Гончаровой, дом 8</t>
  </si>
  <si>
    <t xml:space="preserve"> до 1917</t>
  </si>
  <si>
    <t>территория двор Пролетарки, дом 118</t>
  </si>
  <si>
    <t>проспект Комсомольский, дом 9 корпус 1</t>
  </si>
  <si>
    <t>улица Можайского улица, дом 73</t>
  </si>
  <si>
    <t>улица Седова, дом 7 в</t>
  </si>
  <si>
    <t>улица Паши Савельевой, дом 35, корпус 2</t>
  </si>
  <si>
    <t>улица Паши Савельевой, дом 35, корпус 4</t>
  </si>
  <si>
    <t>улица Хромова, дом 18, корпус 1</t>
  </si>
  <si>
    <t xml:space="preserve"> улица Скворцова-Степанова, дом 20</t>
  </si>
  <si>
    <t>улица Скворцова-Степанова, дом 20</t>
  </si>
  <si>
    <t>улица Королева, дом 20</t>
  </si>
  <si>
    <t>набережная Пролетарская, дом 1</t>
  </si>
  <si>
    <t>улица Можайского улица, дом 60</t>
  </si>
  <si>
    <t>проспект Чайковского, дом 98</t>
  </si>
  <si>
    <t>проспект Чайковского, дом 4</t>
  </si>
  <si>
    <t>улица Коминтерна, дом 43</t>
  </si>
  <si>
    <t>проспект Чайковского, дом 100</t>
  </si>
  <si>
    <t>улица Кольцевая, дом 70</t>
  </si>
  <si>
    <t>улица Кольцевая, дом 74</t>
  </si>
  <si>
    <t>улица Ткача, дом 2</t>
  </si>
  <si>
    <t>переулок Никитина, дом 10, корпус 2</t>
  </si>
  <si>
    <t>территория двор Пролетарки, дом 164</t>
  </si>
  <si>
    <t>бульвар Гусева, дом 20</t>
  </si>
  <si>
    <t>улица Артюхиной, дом 3</t>
  </si>
  <si>
    <t>улица Артюхиной, дом 11, корпус 1</t>
  </si>
  <si>
    <t>улица Фрунзе, дом 8 корпус 2</t>
  </si>
  <si>
    <t>улица Хромова, дом 18, корпус 2</t>
  </si>
  <si>
    <t>улица Фрунзе, дом 6</t>
  </si>
  <si>
    <t>улица Фрунзе, дом 8, корпус 2</t>
  </si>
  <si>
    <t>проезд Зеленый, дом 45, корпус 3</t>
  </si>
  <si>
    <t>улица Пушкинская, дом 2 А</t>
  </si>
  <si>
    <t>улица Маршала Конева, дом 10, корпус 2</t>
  </si>
  <si>
    <t>улица Евгения Пичугина, дом 52</t>
  </si>
  <si>
    <t>бульвар Шмидта, дом 40</t>
  </si>
  <si>
    <t>улица Орджоникидзе, дом 22/25</t>
  </si>
  <si>
    <t>переулок Свободный, дом 1 г</t>
  </si>
  <si>
    <t>улица Екатерины Фарафоновой, дом 45</t>
  </si>
  <si>
    <t>улица Коробкова, дом 16</t>
  </si>
  <si>
    <t>улица Железнодорожников, дом 35, корпус 1</t>
  </si>
  <si>
    <t>улица Можайского улица, дом 61 в</t>
  </si>
  <si>
    <t>бульвар Шмидта, дом 39 а</t>
  </si>
  <si>
    <t>улица Алексея Томского, дом 14</t>
  </si>
  <si>
    <t>улица Новикова, дом 19</t>
  </si>
  <si>
    <t>улица Громова, дом 44</t>
  </si>
  <si>
    <t>переулок Университетский, дом 5</t>
  </si>
  <si>
    <t xml:space="preserve"> проспект Ленина, дом 2</t>
  </si>
  <si>
    <t>улица Склизкова, дом 103</t>
  </si>
  <si>
    <t>улица Московская, дом 24, корпус 1</t>
  </si>
  <si>
    <t>проезд Зеленый, дом 43, корпус 2</t>
  </si>
  <si>
    <t>проспект Волоколамский, дом 15, корпус 2</t>
  </si>
  <si>
    <t>проспект Октябрьский, дом 87, корпус 1</t>
  </si>
  <si>
    <t>улица Орджоникидзе, дом 46, корпус 3</t>
  </si>
  <si>
    <t>4, 5</t>
  </si>
  <si>
    <t>поселок Химинститута, дом 18</t>
  </si>
  <si>
    <t>проспект Октябрьский, дом 87, корпус 2</t>
  </si>
  <si>
    <t>проспект Чайковского, дом 37</t>
  </si>
  <si>
    <t>территория двор Пролетарки, дом 43</t>
  </si>
  <si>
    <t>проспект Октябрьский, дом 93</t>
  </si>
  <si>
    <t>улица Склизкова, дом 98</t>
  </si>
  <si>
    <t>улица Инициативная, дом 10/11</t>
  </si>
  <si>
    <t>шоссе Петербургское, дом 53</t>
  </si>
  <si>
    <t>бульвар Гусева, дом 22</t>
  </si>
  <si>
    <t>улица Фрунзе, дом 16</t>
  </si>
  <si>
    <t>2017 год</t>
  </si>
  <si>
    <t>Формирование фонда капитального ремонта многоквартирного дома на счете некоммерческой организации - Фонд капитального ремонта многоквартирных домов Тверской области (далее - региональный оператор)</t>
  </si>
  <si>
    <t>Итого</t>
  </si>
  <si>
    <t>Формирование фонда капитального ремонта многоквартирного дома на специальном счете, владельцем которого является товарищество собственников жилья, жилищно-строительный кооператив, жилищный кооператив, иной специализированный потребительский кооператив, управляющая компания</t>
  </si>
  <si>
    <t>2018 год</t>
  </si>
  <si>
    <t>2019 год</t>
  </si>
  <si>
    <t>Начальник департамента жилищно-коммунального хозяйства</t>
  </si>
  <si>
    <t>В.Д.Якубенок</t>
  </si>
  <si>
    <t>поселок Литвинки, дом 34</t>
  </si>
  <si>
    <t>поселок Литвинки, дом 32</t>
  </si>
  <si>
    <t>5, 8, 7</t>
  </si>
  <si>
    <t>ремонт или замена лифтового оборудования, признанного непригодным для эксплуатации, ремонт лифтовых шахт</t>
  </si>
  <si>
    <t>ремонт крыши, в том числе устройство выходов на кровлю</t>
  </si>
  <si>
    <t>Стоимость капитального ремонта Всего</t>
  </si>
  <si>
    <t>ремонт подвальных помещений, относящихся к общему имуществу в МКД</t>
  </si>
  <si>
    <t xml:space="preserve">Начальник департамента жилищно-коммунального хозяйства                                                                                       </t>
  </si>
  <si>
    <t>В.Д. Якубенок</t>
  </si>
  <si>
    <t>Часть II.  Реестр многоквартирных домов, которые подлежат капитальному ремонту, по видам ремонта</t>
  </si>
  <si>
    <t>Адрес МКД</t>
  </si>
  <si>
    <t>общая площадь  МКД, всего</t>
  </si>
  <si>
    <t>__________________</t>
  </si>
  <si>
    <t>улица Михаила Румянцева, дом 12, корпус 1</t>
  </si>
  <si>
    <t>улица Орджоникидзе, дом 11</t>
  </si>
  <si>
    <t>Краткосрочный план реализации региональной программы по проведению капитального ремонта общего имущества в многоквартирных домах  на 2017-2019 годы муниципального образования город Тверь</t>
  </si>
  <si>
    <t>за счет привлеченных средств (кредита)</t>
  </si>
  <si>
    <t>за счет привлеченных средств (рассрочка)</t>
  </si>
  <si>
    <t>12.2018</t>
  </si>
  <si>
    <t>улица Виноградова, дом 10</t>
  </si>
  <si>
    <t>проспект Чайквского, дом 94</t>
  </si>
  <si>
    <t>переулок Спортивный, дом 2, корпус 2</t>
  </si>
  <si>
    <t>улица Дачная, дом 74</t>
  </si>
  <si>
    <t>улица Дачная, дом 71</t>
  </si>
  <si>
    <t>проспект Победы, дом 7, корпус 5</t>
  </si>
  <si>
    <t>улица Склизкова, дом 90</t>
  </si>
  <si>
    <t>ж/б плиты</t>
  </si>
  <si>
    <t>улица Фадеева, дом 10</t>
  </si>
  <si>
    <t>улица Коминтерна, дом 49А</t>
  </si>
  <si>
    <t>улица Трудолюбия, дом 37</t>
  </si>
  <si>
    <t>бульвар Молодежный, дом 15</t>
  </si>
  <si>
    <t>проезд Зеленый, дом 45, корпус 6</t>
  </si>
  <si>
    <t>улица Румянцева, дом 10</t>
  </si>
  <si>
    <t>бульвар Гусева, дом 5</t>
  </si>
  <si>
    <t>улица Артюхиной, дом 9, корпус 2</t>
  </si>
  <si>
    <t>проспект Октябрьский, дом 89</t>
  </si>
  <si>
    <t>улица Паши Савельевой, дом 14</t>
  </si>
  <si>
    <t>улица Кольцевая, дом 72</t>
  </si>
  <si>
    <t>улица Артюхиной, дом 24, корпус 3</t>
  </si>
  <si>
    <t>улица Хрустальная, дом 38</t>
  </si>
  <si>
    <t>9-10</t>
  </si>
  <si>
    <t>улица Хрустальная, дом 45</t>
  </si>
  <si>
    <t>улица Хрустальная, дом 36</t>
  </si>
  <si>
    <t>улица Хрустальная, дом 36, корпус 1</t>
  </si>
  <si>
    <t>улица Можайского, дом 71</t>
  </si>
  <si>
    <t>улица Хромова, дом 18</t>
  </si>
  <si>
    <t>улица Ерофеева, д. 6А</t>
  </si>
  <si>
    <t>Формирование фонда капитального ремонта многоквартирного дома на счете   регионального оператора</t>
  </si>
  <si>
    <t>Перечень многоквартирных домов, капитальный ремонт которых не был завершен в 2017 году, и которые планируются отремонтировать в 2018 году</t>
  </si>
  <si>
    <t xml:space="preserve"> электроснабжения</t>
  </si>
  <si>
    <t xml:space="preserve"> теплоснабжения</t>
  </si>
  <si>
    <t xml:space="preserve"> газоснабжения</t>
  </si>
  <si>
    <t xml:space="preserve"> холодного водоснабжения</t>
  </si>
  <si>
    <t xml:space="preserve"> горячего водоснабжения</t>
  </si>
  <si>
    <t xml:space="preserve"> водоотведения</t>
  </si>
  <si>
    <t>Всего:</t>
  </si>
  <si>
    <t>Наименование муниципального образования  Тверской области</t>
  </si>
  <si>
    <t>Муниципальное образование город Тверь</t>
  </si>
  <si>
    <t xml:space="preserve"> </t>
  </si>
  <si>
    <t>проспект Октябрьский, д. 83</t>
  </si>
  <si>
    <r>
      <rPr>
        <sz val="12"/>
        <color indexed="8"/>
        <rFont val="Calibri"/>
        <family val="2"/>
        <charset val="204"/>
      </rPr>
      <t>«</t>
    </r>
    <r>
      <rPr>
        <sz val="12"/>
        <color indexed="8"/>
        <rFont val="Times New Roman"/>
        <family val="1"/>
        <charset val="204"/>
      </rPr>
      <t xml:space="preserve"> Приложение к постановлению администрации города Твери</t>
    </r>
  </si>
  <si>
    <t>».</t>
  </si>
  <si>
    <t>Виды услуг и (или) работ по капитальному ремонту:</t>
  </si>
  <si>
    <t>бульвар Гусева, дом 15</t>
  </si>
  <si>
    <t>бульвар Гусева, дом 16</t>
  </si>
  <si>
    <t>бульвар Гусева, дом 38</t>
  </si>
  <si>
    <t>бульвар Гусева, дом 47, корпус 1</t>
  </si>
  <si>
    <t>бульвар Гусева, дом 47, корпус 3</t>
  </si>
  <si>
    <t>бульвар Ногина, дом 4</t>
  </si>
  <si>
    <t>бульвар Профсоюзов, дом 18, корпус 2</t>
  </si>
  <si>
    <t>бульвар Профсоюзов, дом 23</t>
  </si>
  <si>
    <t>бульвар Профсоюзов, дом 3, корпус 3</t>
  </si>
  <si>
    <t>бульвар Профсоюзов, дом 7</t>
  </si>
  <si>
    <t>бульвар Профсоюзов, дом 9, корпус 3</t>
  </si>
  <si>
    <t>бульвар Цанова, дом 1</t>
  </si>
  <si>
    <t>бульвар Шмидта, дом 49, корпус 1</t>
  </si>
  <si>
    <t>набережная Мигаловская, дом 8</t>
  </si>
  <si>
    <t>набережная Степана Разина, дом 16</t>
  </si>
  <si>
    <t>набережная Степана Разина, дом 19</t>
  </si>
  <si>
    <t>переулок Артиллерийский, дом 20</t>
  </si>
  <si>
    <t>переулок Вагжановский, дом 14</t>
  </si>
  <si>
    <t>переулок Никитина, дом 10 к. 2</t>
  </si>
  <si>
    <t>переулок Садовый, дом 37/15</t>
  </si>
  <si>
    <t xml:space="preserve">переулок Смоленский, дом 8, корпус1 </t>
  </si>
  <si>
    <t>переулок Спортивный, дом 2, корпус 3</t>
  </si>
  <si>
    <t>переулок Спортивный, дом 2, корпус 4</t>
  </si>
  <si>
    <t>переулок Университетский, дом 3</t>
  </si>
  <si>
    <t>площадь Гагарина, дом 2</t>
  </si>
  <si>
    <t>поселок Химинститута, дом 19</t>
  </si>
  <si>
    <t>поселок Химинститута, дом 46</t>
  </si>
  <si>
    <t>поселок Химинститута, дом 48</t>
  </si>
  <si>
    <t>проезд Зеленый, 45, корпус 9</t>
  </si>
  <si>
    <t>проезд Зеленый, дом 47, корпус 1</t>
  </si>
  <si>
    <t>проезд Ремесленный, дом 10а</t>
  </si>
  <si>
    <t>проспект Волоколамский, дом 9</t>
  </si>
  <si>
    <t>проспект Волоколамский, дом 9, корпус 4</t>
  </si>
  <si>
    <t>проспект Калинина, дом 14</t>
  </si>
  <si>
    <t>проспект Ленина, дом 14, корпус 2</t>
  </si>
  <si>
    <t>проспект Ленина, дом 23/1</t>
  </si>
  <si>
    <t>проспект Ленина, дом 27</t>
  </si>
  <si>
    <t>проспект Ленина, дом 28</t>
  </si>
  <si>
    <t>проспект Ленина, дом 41</t>
  </si>
  <si>
    <t>проспект Ленина, дом 43</t>
  </si>
  <si>
    <t>проспект Ленина, дом 8</t>
  </si>
  <si>
    <t>проспект Октябрьский, дом 85/49</t>
  </si>
  <si>
    <t>проспект Октябрьский, дом 95, корпус 1</t>
  </si>
  <si>
    <t>проспект Октябрьский, дом 95, корпус 3</t>
  </si>
  <si>
    <t>проспект Октябрьский, дом 95, корпус 4</t>
  </si>
  <si>
    <t>проспект Победы, дом 48/29</t>
  </si>
  <si>
    <t>проспект Победы, дом 5</t>
  </si>
  <si>
    <t>проспект Победы, дом 7 корпус 4</t>
  </si>
  <si>
    <t>проспект Тверской, дом 16</t>
  </si>
  <si>
    <t>проспект Тверской, дом 9</t>
  </si>
  <si>
    <t>проспект Чайковского, дом 35</t>
  </si>
  <si>
    <t>проспект Чайковского, дом 44, корпус 3</t>
  </si>
  <si>
    <t>проспект Чайковского, дом 94</t>
  </si>
  <si>
    <t>улица 1-я Силикатная, дом 11</t>
  </si>
  <si>
    <t>улица 2-я Серова, дом 10</t>
  </si>
  <si>
    <t>улица Артюхиной, дом 15Б</t>
  </si>
  <si>
    <t>улица Артюхиной, дом 24, корпус 4</t>
  </si>
  <si>
    <t>улица Артюхиной, дом 24, корпус 5</t>
  </si>
  <si>
    <t>улица Артюхиной, дом 5</t>
  </si>
  <si>
    <t>улица Артюхиной, дом 9, корпус 3</t>
  </si>
  <si>
    <t>улица Благоева, дом 12</t>
  </si>
  <si>
    <t>улица Благоева, дом 8, корпус 2</t>
  </si>
  <si>
    <t>улица Благоева, дом 8, корпус 3</t>
  </si>
  <si>
    <t>улица Бобкова, дом 14</t>
  </si>
  <si>
    <t>улица Бобкова, дом 16</t>
  </si>
  <si>
    <t>улица Бобкова, дом 23</t>
  </si>
  <si>
    <t>улица Бобкова, дом 24</t>
  </si>
  <si>
    <t>улица Бобкова, дом 24, корпус 3</t>
  </si>
  <si>
    <t>улица Бобкова, дом 28, корпус 1</t>
  </si>
  <si>
    <t>улица Бобкова, дом 28, корпус 2</t>
  </si>
  <si>
    <t>улица Бобкова, дом 32</t>
  </si>
  <si>
    <t>улица Бобкова, дом 37</t>
  </si>
  <si>
    <t>улица Богданова, дом 24 корпус 2</t>
  </si>
  <si>
    <t>улица Виноградова, дом 1</t>
  </si>
  <si>
    <t>улица Володарского, дом 19</t>
  </si>
  <si>
    <t>улица Володарского, дом 36/38</t>
  </si>
  <si>
    <t>улица Володарского, дом 4</t>
  </si>
  <si>
    <t>улица Горького, дом 104</t>
  </si>
  <si>
    <t>улица Громова, дом 48, корпус 1</t>
  </si>
  <si>
    <t>улица Громова, дом 48, корпус 2</t>
  </si>
  <si>
    <t>улица Громова, дом 9</t>
  </si>
  <si>
    <t>улица Дарвина, дом 2</t>
  </si>
  <si>
    <t>улица Дарвина, дом 4, корпус 1</t>
  </si>
  <si>
    <t>улица Евгения Пичугина, дом 48</t>
  </si>
  <si>
    <t>улица Евгения Пичугина, дом 56</t>
  </si>
  <si>
    <t>улица Ерофеева, дом 7, корпус 2</t>
  </si>
  <si>
    <t>улица Инициативная, дом 13</t>
  </si>
  <si>
    <t>улица Инициативная, дом 7</t>
  </si>
  <si>
    <t>улица Ипподромная, дом 8</t>
  </si>
  <si>
    <t>улица Карла Маркса, дом 5</t>
  </si>
  <si>
    <t>улица Карпинского, дом 12/32</t>
  </si>
  <si>
    <t>улица Коробкова, дом 12</t>
  </si>
  <si>
    <t>улица Королева, дом 14/2</t>
  </si>
  <si>
    <t>улица Красина, дом 53 корпус 1</t>
  </si>
  <si>
    <t>улица Левитана, дом 26</t>
  </si>
  <si>
    <t>улица Лизы Чайкиной, дом 25/2Б</t>
  </si>
  <si>
    <t>улица Лукина, дом 6</t>
  </si>
  <si>
    <t>улица Лукина, дом 8</t>
  </si>
  <si>
    <t>улица Маршала Буденного, дом 13</t>
  </si>
  <si>
    <t>улица Маршала Захарова, дом 14</t>
  </si>
  <si>
    <t>улица Можайского, дом 72</t>
  </si>
  <si>
    <t>улица Мусоргского, дом 38/33</t>
  </si>
  <si>
    <t>улица Мусоргского, дом 6, корпус 4</t>
  </si>
  <si>
    <t>улица Новикова, дом 17</t>
  </si>
  <si>
    <t>улица Озерная, дом 18</t>
  </si>
  <si>
    <t>улица Озерная, дом 19</t>
  </si>
  <si>
    <t>улица Орджоникидзе, дом 12/1</t>
  </si>
  <si>
    <t>улица Паши Савельевой дом 2</t>
  </si>
  <si>
    <t>улица Паши Савельевой, дом 15, корпус 2</t>
  </si>
  <si>
    <t>улица Паши Савельевой, дом 23</t>
  </si>
  <si>
    <t>улица Паши Савельевой, дом 3</t>
  </si>
  <si>
    <t>улица Паши Савельевой, дом 39, корпус 5</t>
  </si>
  <si>
    <t>улица Паши Савельевой, дом 48, корпус 1</t>
  </si>
  <si>
    <t>улица Паши Савельевой, дом 6</t>
  </si>
  <si>
    <t>улица Пржевальского, дом 58</t>
  </si>
  <si>
    <t>улица Пушкинская, дом 9</t>
  </si>
  <si>
    <t>улица Ржевская, дом 12А</t>
  </si>
  <si>
    <t>улица Салтыкова-Щедрина, дом 44</t>
  </si>
  <si>
    <t>улица Севастьянова, дом 11</t>
  </si>
  <si>
    <t>улица Севастьянова, дом 16</t>
  </si>
  <si>
    <t>улица Севастьянова, дом 2, корпус 1</t>
  </si>
  <si>
    <t>улица Севастьянова, дом 20</t>
  </si>
  <si>
    <t>улица Севастьянова, дом 7</t>
  </si>
  <si>
    <t>улица Склизкова, дом 19/25</t>
  </si>
  <si>
    <t>улица Склизкова, дом 2</t>
  </si>
  <si>
    <t>улица Склизкова, дом 6</t>
  </si>
  <si>
    <t>улица Склизкова, дом 70, корпус 1</t>
  </si>
  <si>
    <t>улица Склизкова, дом 70, корпус 4</t>
  </si>
  <si>
    <t>улица Склизкова, дом 74</t>
  </si>
  <si>
    <t>улица Склизкова, дом 8</t>
  </si>
  <si>
    <t>улица Советская, дом 18</t>
  </si>
  <si>
    <t>улица Советская, дом 64</t>
  </si>
  <si>
    <t>улица Софьи Перовской, дом 14</t>
  </si>
  <si>
    <t>улица Спартака, дом 4/2</t>
  </si>
  <si>
    <t>улица Стахановская, дом 31</t>
  </si>
  <si>
    <t>улица Строителей, дом 11/16</t>
  </si>
  <si>
    <t>улица Строителей, дом 14</t>
  </si>
  <si>
    <t>улица Строителей, дом 9/15</t>
  </si>
  <si>
    <t>улица Тамары Ильиной, дом 3, корпус 1</t>
  </si>
  <si>
    <t>улица Тамары Ильиной, дом 35</t>
  </si>
  <si>
    <t>улица Тракторная, дом 5</t>
  </si>
  <si>
    <t>улица Учительская, дом 39</t>
  </si>
  <si>
    <t>улица Фадеева, дом 2</t>
  </si>
  <si>
    <t>улица Фадеева, дом 26, корпус 1</t>
  </si>
  <si>
    <t>улица Фадеева, дом 38, корпус 2</t>
  </si>
  <si>
    <t>улица Фадеева, дом 8</t>
  </si>
  <si>
    <t>улица Фрунзе, дом 14</t>
  </si>
  <si>
    <t>улица Хромова, дом 18, корпус 3</t>
  </si>
  <si>
    <t>улица Центральная, дом 14, корпус 1</t>
  </si>
  <si>
    <t>шоссе Петербургское, дом 19</t>
  </si>
  <si>
    <t>шоссе Петербургское, дом 28</t>
  </si>
  <si>
    <t>шоссе Петербургское, дом 41</t>
  </si>
  <si>
    <t>шоссе Петербургское, дом 43</t>
  </si>
  <si>
    <t>шоссе Петербургское, дом 55</t>
  </si>
  <si>
    <t>шоссе Сахаровское, дом 12</t>
  </si>
  <si>
    <t>улица Константина Заслонова, дом 5</t>
  </si>
  <si>
    <t>улица Академика Туполева, дом 116, корпус 2</t>
  </si>
  <si>
    <t>проспект Чайковского, дом 90</t>
  </si>
  <si>
    <t>шоссе Петербургское, дом 14 корпус 1</t>
  </si>
  <si>
    <t>5-4-2</t>
  </si>
  <si>
    <t>улица Михаила Румянцева, дом 15</t>
  </si>
  <si>
    <t>шоссе Петербургское, дом 58</t>
  </si>
  <si>
    <t>шоссе Петербургское, дом  58</t>
  </si>
  <si>
    <t>4-5</t>
  </si>
  <si>
    <t>бульвар Цанова, дом 13</t>
  </si>
  <si>
    <t>улица Зинаиды Коноплянниковой, дом 26</t>
  </si>
  <si>
    <t>улица Паши Савельевой, дом 23, корпус 2</t>
  </si>
  <si>
    <t>улица Оснабрюкская, дом 9, корпус 2</t>
  </si>
  <si>
    <t>улица Володарского, дом 37</t>
  </si>
  <si>
    <t>4-3</t>
  </si>
  <si>
    <t>поселок Химинститута, дом 53</t>
  </si>
  <si>
    <t>9</t>
  </si>
  <si>
    <t>улица Артюхиной, дом 15Г</t>
  </si>
  <si>
    <t>« 08 »  февраля    2017 года   № 129</t>
  </si>
  <si>
    <t>переулок Партизанский, дом 22/8</t>
  </si>
  <si>
    <t>проезд Зеленый, дом 49, корпус 3</t>
  </si>
  <si>
    <t>улица Фадеева, дом 29</t>
  </si>
  <si>
    <t>5</t>
  </si>
  <si>
    <t>улица Ипподромная, дом 22А</t>
  </si>
  <si>
    <t>Формирование фонда капитального ремонта многоквартирного дома на счете регионального оператора</t>
  </si>
  <si>
    <r>
      <t xml:space="preserve">«29» </t>
    </r>
    <r>
      <rPr>
        <u/>
        <sz val="12"/>
        <color indexed="8"/>
        <rFont val="Times New Roman"/>
        <family val="1"/>
        <charset val="204"/>
      </rPr>
      <t xml:space="preserve">декабря </t>
    </r>
    <r>
      <rPr>
        <sz val="12"/>
        <color indexed="8"/>
        <rFont val="Times New Roman"/>
        <family val="1"/>
        <charset val="204"/>
      </rPr>
      <t>2017 года  № 1804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</si>
</sst>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164" fontId="2" fillId="0" borderId="0" applyFont="0" applyFill="0" applyBorder="0" applyAlignment="0" applyProtection="0"/>
  </cellStyleXfs>
  <cellXfs count="309">
    <xf numFmtId="0" fontId="0" fillId="0" borderId="0" xfId="0"/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/>
    </xf>
    <xf numFmtId="0" fontId="4" fillId="0" borderId="1" xfId="0" applyFont="1" applyFill="1" applyBorder="1"/>
    <xf numFmtId="4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/>
    <xf numFmtId="0" fontId="12" fillId="0" borderId="0" xfId="0" applyFont="1" applyAlignment="1"/>
    <xf numFmtId="0" fontId="13" fillId="0" borderId="0" xfId="0" applyFont="1"/>
    <xf numFmtId="0" fontId="12" fillId="0" borderId="0" xfId="0" applyFont="1"/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/>
    </xf>
    <xf numFmtId="0" fontId="0" fillId="2" borderId="0" xfId="0" applyFill="1"/>
    <xf numFmtId="0" fontId="15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16" fillId="0" borderId="0" xfId="0" applyFont="1"/>
    <xf numFmtId="4" fontId="17" fillId="0" borderId="0" xfId="0" applyNumberFormat="1" applyFont="1" applyBorder="1" applyAlignment="1">
      <alignment horizontal="center" vertical="center" wrapText="1"/>
    </xf>
    <xf numFmtId="0" fontId="16" fillId="0" borderId="0" xfId="0" applyFont="1" applyAlignment="1"/>
    <xf numFmtId="0" fontId="12" fillId="0" borderId="0" xfId="0" applyFont="1" applyFill="1" applyBorder="1"/>
    <xf numFmtId="165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 wrapText="1"/>
    </xf>
    <xf numFmtId="164" fontId="6" fillId="2" borderId="1" xfId="8" applyFont="1" applyFill="1" applyBorder="1" applyAlignment="1">
      <alignment horizontal="center" vertical="center"/>
    </xf>
    <xf numFmtId="0" fontId="18" fillId="2" borderId="0" xfId="0" applyFont="1" applyFill="1"/>
    <xf numFmtId="0" fontId="6" fillId="0" borderId="9" xfId="0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horizontal="center" vertical="center" wrapText="1"/>
    </xf>
    <xf numFmtId="0" fontId="21" fillId="0" borderId="0" xfId="0" applyFont="1" applyBorder="1"/>
    <xf numFmtId="0" fontId="12" fillId="2" borderId="0" xfId="0" applyFont="1" applyFill="1" applyBorder="1"/>
    <xf numFmtId="0" fontId="12" fillId="2" borderId="0" xfId="0" applyFont="1" applyFill="1" applyAlignment="1"/>
    <xf numFmtId="4" fontId="12" fillId="0" borderId="0" xfId="0" applyNumberFormat="1" applyFont="1" applyAlignment="1"/>
    <xf numFmtId="0" fontId="13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2" fillId="0" borderId="17" xfId="0" applyFont="1" applyBorder="1" applyAlignment="1"/>
    <xf numFmtId="0" fontId="15" fillId="0" borderId="17" xfId="0" applyFont="1" applyBorder="1"/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18" fillId="3" borderId="0" xfId="0" applyFont="1" applyFill="1"/>
    <xf numFmtId="0" fontId="18" fillId="0" borderId="0" xfId="0" applyFont="1" applyFill="1"/>
    <xf numFmtId="2" fontId="6" fillId="2" borderId="1" xfId="0" applyNumberFormat="1" applyFont="1" applyFill="1" applyBorder="1" applyAlignment="1">
      <alignment horizontal="center" vertical="center" wrapText="1"/>
    </xf>
    <xf numFmtId="16" fontId="6" fillId="2" borderId="1" xfId="0" applyNumberFormat="1" applyFont="1" applyFill="1" applyBorder="1" applyAlignment="1">
      <alignment horizontal="center" vertical="center"/>
    </xf>
    <xf numFmtId="164" fontId="22" fillId="2" borderId="3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4" fontId="20" fillId="2" borderId="21" xfId="0" applyNumberFormat="1" applyFont="1" applyFill="1" applyBorder="1" applyAlignment="1">
      <alignment horizontal="center" vertical="center" wrapText="1"/>
    </xf>
    <xf numFmtId="164" fontId="22" fillId="2" borderId="2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64" fontId="3" fillId="0" borderId="0" xfId="8" applyFont="1" applyBorder="1" applyAlignment="1">
      <alignment horizontal="center" vertical="center"/>
    </xf>
    <xf numFmtId="0" fontId="16" fillId="0" borderId="0" xfId="0" applyFont="1" applyBorder="1"/>
    <xf numFmtId="4" fontId="6" fillId="2" borderId="26" xfId="0" applyNumberFormat="1" applyFont="1" applyFill="1" applyBorder="1" applyAlignment="1">
      <alignment horizontal="center" vertical="center" wrapText="1"/>
    </xf>
    <xf numFmtId="4" fontId="6" fillId="2" borderId="2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0" xfId="0"/>
    <xf numFmtId="49" fontId="6" fillId="2" borderId="1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4" fillId="0" borderId="0" xfId="0" applyFont="1"/>
    <xf numFmtId="3" fontId="8" fillId="2" borderId="10" xfId="0" applyNumberFormat="1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" fontId="6" fillId="2" borderId="8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4" fontId="14" fillId="0" borderId="38" xfId="0" applyNumberFormat="1" applyFont="1" applyFill="1" applyBorder="1" applyAlignment="1">
      <alignment horizontal="center" vertical="center"/>
    </xf>
    <xf numFmtId="164" fontId="14" fillId="2" borderId="21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39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2" fontId="20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2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/>
    </xf>
    <xf numFmtId="0" fontId="12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1" xfId="0" applyBorder="1"/>
    <xf numFmtId="0" fontId="18" fillId="0" borderId="5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57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6" fillId="2" borderId="4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3" fillId="0" borderId="5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4" fontId="3" fillId="0" borderId="30" xfId="0" applyNumberFormat="1" applyFon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Финансовый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U356"/>
  <sheetViews>
    <sheetView tabSelected="1" view="pageBreakPreview" zoomScaleNormal="55" zoomScaleSheetLayoutView="100" workbookViewId="0">
      <selection activeCell="N2" sqref="N2"/>
    </sheetView>
  </sheetViews>
  <sheetFormatPr defaultRowHeight="15" x14ac:dyDescent="0.25"/>
  <cols>
    <col min="1" max="1" width="9.140625" style="131"/>
    <col min="2" max="2" width="4.7109375" customWidth="1"/>
    <col min="3" max="3" width="37.5703125" customWidth="1"/>
    <col min="4" max="4" width="9" customWidth="1"/>
    <col min="5" max="5" width="9.28515625" customWidth="1"/>
    <col min="6" max="6" width="12.140625" customWidth="1"/>
    <col min="7" max="7" width="7.85546875" customWidth="1"/>
    <col min="8" max="8" width="7.7109375" customWidth="1"/>
    <col min="9" max="9" width="14.42578125" customWidth="1"/>
    <col min="10" max="10" width="14.85546875" customWidth="1"/>
    <col min="11" max="11" width="13" customWidth="1"/>
    <col min="12" max="12" width="10.42578125" customWidth="1"/>
    <col min="13" max="13" width="17.85546875" customWidth="1"/>
    <col min="14" max="14" width="9.5703125" customWidth="1"/>
    <col min="15" max="15" width="9.28515625" customWidth="1"/>
    <col min="16" max="17" width="16.7109375" customWidth="1"/>
    <col min="18" max="18" width="11.7109375" customWidth="1"/>
    <col min="19" max="19" width="9.7109375" customWidth="1"/>
    <col min="20" max="20" width="9.28515625" customWidth="1"/>
    <col min="21" max="21" width="9.5703125" customWidth="1"/>
  </cols>
  <sheetData>
    <row r="1" spans="2:21" s="131" customFormat="1" ht="15.75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N1" s="223" t="s">
        <v>41</v>
      </c>
      <c r="O1" s="223"/>
      <c r="P1" s="223"/>
      <c r="Q1" s="223"/>
      <c r="R1" s="223"/>
      <c r="S1" s="223"/>
      <c r="T1" s="223"/>
      <c r="U1" s="223"/>
    </row>
    <row r="2" spans="2:21" s="131" customFormat="1" ht="15.75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N2" s="104" t="s">
        <v>399</v>
      </c>
      <c r="O2" s="104"/>
      <c r="P2" s="104"/>
      <c r="Q2" s="104"/>
      <c r="R2" s="104"/>
      <c r="S2" s="104"/>
      <c r="T2" s="104"/>
      <c r="U2" s="104"/>
    </row>
    <row r="3" spans="2:21" s="131" customFormat="1" x14ac:dyDescent="0.25"/>
    <row r="4" spans="2:21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N4" s="223" t="s">
        <v>216</v>
      </c>
      <c r="O4" s="223"/>
      <c r="P4" s="223"/>
      <c r="Q4" s="223"/>
      <c r="R4" s="223"/>
      <c r="S4" s="223"/>
      <c r="T4" s="223"/>
      <c r="U4" s="223"/>
    </row>
    <row r="5" spans="2:21" ht="15.75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  <c r="N5" s="104" t="s">
        <v>392</v>
      </c>
      <c r="O5" s="104"/>
      <c r="P5" s="104"/>
      <c r="Q5" s="104"/>
      <c r="R5" s="104"/>
      <c r="S5" s="104"/>
      <c r="T5" s="104"/>
      <c r="U5" s="104"/>
    </row>
    <row r="6" spans="2:21" ht="18.75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5"/>
      <c r="N6" s="5"/>
      <c r="O6" s="5"/>
      <c r="P6" s="5"/>
      <c r="Q6" s="5"/>
      <c r="R6" s="5"/>
      <c r="S6" s="5"/>
      <c r="T6" s="5"/>
      <c r="U6" s="5"/>
    </row>
    <row r="7" spans="2:21" ht="41.25" customHeight="1" x14ac:dyDescent="0.25">
      <c r="B7" s="224" t="s">
        <v>171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</row>
    <row r="8" spans="2:21" ht="18.75" customHeight="1" thickBot="1" x14ac:dyDescent="0.3">
      <c r="B8" s="225" t="s">
        <v>30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</row>
    <row r="9" spans="2:21" ht="24" customHeight="1" x14ac:dyDescent="0.25">
      <c r="B9" s="227" t="s">
        <v>0</v>
      </c>
      <c r="C9" s="215" t="s">
        <v>23</v>
      </c>
      <c r="D9" s="229" t="s">
        <v>1</v>
      </c>
      <c r="E9" s="229"/>
      <c r="F9" s="221" t="s">
        <v>2</v>
      </c>
      <c r="G9" s="221" t="s">
        <v>3</v>
      </c>
      <c r="H9" s="221" t="s">
        <v>4</v>
      </c>
      <c r="I9" s="216" t="s">
        <v>5</v>
      </c>
      <c r="J9" s="215" t="s">
        <v>6</v>
      </c>
      <c r="K9" s="215"/>
      <c r="L9" s="216" t="s">
        <v>7</v>
      </c>
      <c r="M9" s="215" t="s">
        <v>8</v>
      </c>
      <c r="N9" s="215"/>
      <c r="O9" s="215"/>
      <c r="P9" s="215"/>
      <c r="Q9" s="215"/>
      <c r="R9" s="215"/>
      <c r="S9" s="216" t="s">
        <v>9</v>
      </c>
      <c r="T9" s="216" t="s">
        <v>10</v>
      </c>
      <c r="U9" s="219" t="s">
        <v>11</v>
      </c>
    </row>
    <row r="10" spans="2:21" x14ac:dyDescent="0.25">
      <c r="B10" s="228"/>
      <c r="C10" s="218"/>
      <c r="D10" s="217" t="s">
        <v>12</v>
      </c>
      <c r="E10" s="217" t="s">
        <v>13</v>
      </c>
      <c r="F10" s="222"/>
      <c r="G10" s="222"/>
      <c r="H10" s="222"/>
      <c r="I10" s="217"/>
      <c r="J10" s="217" t="s">
        <v>14</v>
      </c>
      <c r="K10" s="217" t="s">
        <v>15</v>
      </c>
      <c r="L10" s="217"/>
      <c r="M10" s="217" t="s">
        <v>14</v>
      </c>
      <c r="N10" s="218" t="s">
        <v>16</v>
      </c>
      <c r="O10" s="218"/>
      <c r="P10" s="218"/>
      <c r="Q10" s="218"/>
      <c r="R10" s="218"/>
      <c r="S10" s="217"/>
      <c r="T10" s="217"/>
      <c r="U10" s="220"/>
    </row>
    <row r="11" spans="2:21" ht="121.5" customHeight="1" x14ac:dyDescent="0.25">
      <c r="B11" s="228"/>
      <c r="C11" s="218"/>
      <c r="D11" s="217"/>
      <c r="E11" s="217"/>
      <c r="F11" s="222"/>
      <c r="G11" s="222"/>
      <c r="H11" s="222"/>
      <c r="I11" s="217"/>
      <c r="J11" s="217"/>
      <c r="K11" s="217"/>
      <c r="L11" s="217"/>
      <c r="M11" s="217"/>
      <c r="N11" s="71" t="s">
        <v>59</v>
      </c>
      <c r="O11" s="71" t="s">
        <v>17</v>
      </c>
      <c r="P11" s="71" t="s">
        <v>18</v>
      </c>
      <c r="Q11" s="125" t="s">
        <v>172</v>
      </c>
      <c r="R11" s="71" t="s">
        <v>173</v>
      </c>
      <c r="S11" s="217"/>
      <c r="T11" s="217"/>
      <c r="U11" s="220"/>
    </row>
    <row r="12" spans="2:21" x14ac:dyDescent="0.25">
      <c r="B12" s="228"/>
      <c r="C12" s="218"/>
      <c r="D12" s="217"/>
      <c r="E12" s="217"/>
      <c r="F12" s="222"/>
      <c r="G12" s="222"/>
      <c r="H12" s="222"/>
      <c r="I12" s="42" t="s">
        <v>19</v>
      </c>
      <c r="J12" s="42" t="s">
        <v>19</v>
      </c>
      <c r="K12" s="42" t="s">
        <v>19</v>
      </c>
      <c r="L12" s="42" t="s">
        <v>20</v>
      </c>
      <c r="M12" s="42" t="s">
        <v>21</v>
      </c>
      <c r="N12" s="42" t="s">
        <v>21</v>
      </c>
      <c r="O12" s="42" t="s">
        <v>21</v>
      </c>
      <c r="P12" s="42" t="s">
        <v>21</v>
      </c>
      <c r="Q12" s="127" t="s">
        <v>21</v>
      </c>
      <c r="R12" s="42" t="s">
        <v>21</v>
      </c>
      <c r="S12" s="42" t="s">
        <v>22</v>
      </c>
      <c r="T12" s="42" t="s">
        <v>22</v>
      </c>
      <c r="U12" s="220"/>
    </row>
    <row r="13" spans="2:21" ht="15.75" thickBot="1" x14ac:dyDescent="0.3">
      <c r="B13" s="34">
        <v>1</v>
      </c>
      <c r="C13" s="30">
        <v>2</v>
      </c>
      <c r="D13" s="30">
        <v>3</v>
      </c>
      <c r="E13" s="30">
        <v>4</v>
      </c>
      <c r="F13" s="30">
        <v>5</v>
      </c>
      <c r="G13" s="30">
        <v>6</v>
      </c>
      <c r="H13" s="30">
        <v>7</v>
      </c>
      <c r="I13" s="30">
        <v>8</v>
      </c>
      <c r="J13" s="30">
        <v>9</v>
      </c>
      <c r="K13" s="30">
        <v>10</v>
      </c>
      <c r="L13" s="30">
        <v>11</v>
      </c>
      <c r="M13" s="30">
        <v>12</v>
      </c>
      <c r="N13" s="30">
        <v>13</v>
      </c>
      <c r="O13" s="30">
        <v>14</v>
      </c>
      <c r="P13" s="30">
        <v>15</v>
      </c>
      <c r="Q13" s="30">
        <v>16</v>
      </c>
      <c r="R13" s="30">
        <v>17</v>
      </c>
      <c r="S13" s="30">
        <v>18</v>
      </c>
      <c r="T13" s="30">
        <v>19</v>
      </c>
      <c r="U13" s="35">
        <v>20</v>
      </c>
    </row>
    <row r="14" spans="2:21" ht="27.75" customHeight="1" x14ac:dyDescent="0.25">
      <c r="B14" s="205" t="s">
        <v>148</v>
      </c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7"/>
    </row>
    <row r="15" spans="2:21" ht="31.5" customHeight="1" x14ac:dyDescent="0.25">
      <c r="B15" s="198" t="s">
        <v>56</v>
      </c>
      <c r="C15" s="199"/>
      <c r="D15" s="88" t="s">
        <v>26</v>
      </c>
      <c r="E15" s="88" t="s">
        <v>26</v>
      </c>
      <c r="F15" s="88" t="s">
        <v>26</v>
      </c>
      <c r="G15" s="88" t="s">
        <v>26</v>
      </c>
      <c r="H15" s="88" t="s">
        <v>26</v>
      </c>
      <c r="I15" s="92">
        <f t="shared" ref="I15:R15" si="0">I126+I132+I140</f>
        <v>635496.67000000004</v>
      </c>
      <c r="J15" s="92">
        <f t="shared" si="0"/>
        <v>577201.5299999998</v>
      </c>
      <c r="K15" s="92">
        <f t="shared" si="0"/>
        <v>523531.1399999999</v>
      </c>
      <c r="L15" s="108">
        <f t="shared" si="0"/>
        <v>24826</v>
      </c>
      <c r="M15" s="92">
        <f t="shared" si="0"/>
        <v>543990587.12</v>
      </c>
      <c r="N15" s="92">
        <f t="shared" si="0"/>
        <v>0</v>
      </c>
      <c r="O15" s="92">
        <f t="shared" si="0"/>
        <v>0</v>
      </c>
      <c r="P15" s="92">
        <f t="shared" si="0"/>
        <v>543990587.12</v>
      </c>
      <c r="Q15" s="92">
        <f t="shared" si="0"/>
        <v>0</v>
      </c>
      <c r="R15" s="92">
        <f t="shared" si="0"/>
        <v>0</v>
      </c>
      <c r="S15" s="88" t="s">
        <v>26</v>
      </c>
      <c r="T15" s="88" t="s">
        <v>26</v>
      </c>
      <c r="U15" s="95" t="s">
        <v>26</v>
      </c>
    </row>
    <row r="16" spans="2:21" x14ac:dyDescent="0.25">
      <c r="B16" s="200" t="s">
        <v>149</v>
      </c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2"/>
    </row>
    <row r="17" spans="2:21" s="58" customFormat="1" x14ac:dyDescent="0.25">
      <c r="B17" s="89">
        <v>1</v>
      </c>
      <c r="C17" s="77" t="s">
        <v>60</v>
      </c>
      <c r="D17" s="55">
        <v>1990</v>
      </c>
      <c r="E17" s="55"/>
      <c r="F17" s="55" t="s">
        <v>25</v>
      </c>
      <c r="G17" s="55">
        <v>4</v>
      </c>
      <c r="H17" s="55">
        <v>3</v>
      </c>
      <c r="I17" s="41">
        <v>2577.9</v>
      </c>
      <c r="J17" s="41">
        <v>2306.1999999999998</v>
      </c>
      <c r="K17" s="41">
        <f>J17-130.7</f>
        <v>2175.5</v>
      </c>
      <c r="L17" s="105">
        <v>110</v>
      </c>
      <c r="M17" s="41">
        <v>1520503</v>
      </c>
      <c r="N17" s="41">
        <v>0</v>
      </c>
      <c r="O17" s="41">
        <v>0</v>
      </c>
      <c r="P17" s="41">
        <f>M17</f>
        <v>1520503</v>
      </c>
      <c r="Q17" s="41">
        <v>0</v>
      </c>
      <c r="R17" s="41">
        <v>0</v>
      </c>
      <c r="S17" s="41">
        <f t="shared" ref="S17:S48" si="1">M17/J17</f>
        <v>659.31098777209263</v>
      </c>
      <c r="T17" s="53">
        <v>7822</v>
      </c>
      <c r="U17" s="90" t="s">
        <v>69</v>
      </c>
    </row>
    <row r="18" spans="2:21" s="44" customFormat="1" x14ac:dyDescent="0.25">
      <c r="B18" s="89">
        <v>2</v>
      </c>
      <c r="C18" s="77" t="s">
        <v>61</v>
      </c>
      <c r="D18" s="55">
        <v>1966</v>
      </c>
      <c r="E18" s="55"/>
      <c r="F18" s="55" t="s">
        <v>24</v>
      </c>
      <c r="G18" s="55">
        <v>5</v>
      </c>
      <c r="H18" s="55">
        <v>6</v>
      </c>
      <c r="I18" s="41">
        <v>4938</v>
      </c>
      <c r="J18" s="41">
        <v>4375.2</v>
      </c>
      <c r="K18" s="41">
        <f>J18-300.7</f>
        <v>4074.5</v>
      </c>
      <c r="L18" s="105">
        <v>229</v>
      </c>
      <c r="M18" s="41">
        <v>1967436</v>
      </c>
      <c r="N18" s="41">
        <v>0</v>
      </c>
      <c r="O18" s="41">
        <v>0</v>
      </c>
      <c r="P18" s="41">
        <f t="shared" ref="P18:P80" si="2">M18</f>
        <v>1967436</v>
      </c>
      <c r="Q18" s="41">
        <v>0</v>
      </c>
      <c r="R18" s="41">
        <v>0</v>
      </c>
      <c r="S18" s="41">
        <f t="shared" si="1"/>
        <v>449.67910038398247</v>
      </c>
      <c r="T18" s="53">
        <v>7822</v>
      </c>
      <c r="U18" s="90" t="s">
        <v>69</v>
      </c>
    </row>
    <row r="19" spans="2:21" s="44" customFormat="1" x14ac:dyDescent="0.25">
      <c r="B19" s="89">
        <v>3</v>
      </c>
      <c r="C19" s="77" t="s">
        <v>126</v>
      </c>
      <c r="D19" s="55">
        <v>1959</v>
      </c>
      <c r="E19" s="55"/>
      <c r="F19" s="55" t="s">
        <v>25</v>
      </c>
      <c r="G19" s="55">
        <v>2</v>
      </c>
      <c r="H19" s="55">
        <v>1</v>
      </c>
      <c r="I19" s="41">
        <v>494.5</v>
      </c>
      <c r="J19" s="41">
        <v>447.2</v>
      </c>
      <c r="K19" s="41">
        <f>J19</f>
        <v>447.2</v>
      </c>
      <c r="L19" s="105">
        <v>20</v>
      </c>
      <c r="M19" s="41">
        <v>1115319</v>
      </c>
      <c r="N19" s="41">
        <v>0</v>
      </c>
      <c r="O19" s="41">
        <v>0</v>
      </c>
      <c r="P19" s="41">
        <f t="shared" si="2"/>
        <v>1115319</v>
      </c>
      <c r="Q19" s="41">
        <v>0</v>
      </c>
      <c r="R19" s="41">
        <v>0</v>
      </c>
      <c r="S19" s="41">
        <f t="shared" si="1"/>
        <v>2494.0049194991057</v>
      </c>
      <c r="T19" s="53">
        <v>7822</v>
      </c>
      <c r="U19" s="90" t="s">
        <v>69</v>
      </c>
    </row>
    <row r="20" spans="2:21" s="44" customFormat="1" x14ac:dyDescent="0.25">
      <c r="B20" s="89">
        <v>4</v>
      </c>
      <c r="C20" s="77" t="s">
        <v>109</v>
      </c>
      <c r="D20" s="55">
        <v>1987</v>
      </c>
      <c r="E20" s="55"/>
      <c r="F20" s="55" t="s">
        <v>24</v>
      </c>
      <c r="G20" s="55">
        <v>9</v>
      </c>
      <c r="H20" s="55">
        <v>1</v>
      </c>
      <c r="I20" s="41">
        <v>4142.2</v>
      </c>
      <c r="J20" s="41">
        <v>3911</v>
      </c>
      <c r="K20" s="41">
        <f>J20-428.8</f>
        <v>3482.2</v>
      </c>
      <c r="L20" s="105">
        <v>270</v>
      </c>
      <c r="M20" s="41">
        <v>3473565</v>
      </c>
      <c r="N20" s="41">
        <v>0</v>
      </c>
      <c r="O20" s="41">
        <v>0</v>
      </c>
      <c r="P20" s="41">
        <f t="shared" si="2"/>
        <v>3473565</v>
      </c>
      <c r="Q20" s="41">
        <v>0</v>
      </c>
      <c r="R20" s="41">
        <v>0</v>
      </c>
      <c r="S20" s="41">
        <f t="shared" si="1"/>
        <v>888.15264638199949</v>
      </c>
      <c r="T20" s="53">
        <v>7822</v>
      </c>
      <c r="U20" s="90" t="s">
        <v>69</v>
      </c>
    </row>
    <row r="21" spans="2:21" s="44" customFormat="1" x14ac:dyDescent="0.25">
      <c r="B21" s="89">
        <v>5</v>
      </c>
      <c r="C21" s="77" t="s">
        <v>108</v>
      </c>
      <c r="D21" s="55">
        <v>1985</v>
      </c>
      <c r="E21" s="55"/>
      <c r="F21" s="55" t="s">
        <v>24</v>
      </c>
      <c r="G21" s="55">
        <v>9</v>
      </c>
      <c r="H21" s="55">
        <v>1</v>
      </c>
      <c r="I21" s="41">
        <v>2852.4</v>
      </c>
      <c r="J21" s="41">
        <v>2606.1</v>
      </c>
      <c r="K21" s="41">
        <f>J21-208</f>
        <v>2398.1</v>
      </c>
      <c r="L21" s="105">
        <v>141</v>
      </c>
      <c r="M21" s="41">
        <v>7447486</v>
      </c>
      <c r="N21" s="41">
        <v>0</v>
      </c>
      <c r="O21" s="41">
        <v>0</v>
      </c>
      <c r="P21" s="41">
        <f t="shared" si="2"/>
        <v>7447486</v>
      </c>
      <c r="Q21" s="41">
        <v>0</v>
      </c>
      <c r="R21" s="41">
        <v>0</v>
      </c>
      <c r="S21" s="41">
        <f t="shared" si="1"/>
        <v>2857.7130578258702</v>
      </c>
      <c r="T21" s="53">
        <v>7822</v>
      </c>
      <c r="U21" s="90" t="s">
        <v>69</v>
      </c>
    </row>
    <row r="22" spans="2:21" s="44" customFormat="1" x14ac:dyDescent="0.25">
      <c r="B22" s="91">
        <v>6</v>
      </c>
      <c r="C22" s="77" t="s">
        <v>80</v>
      </c>
      <c r="D22" s="55">
        <v>1985</v>
      </c>
      <c r="E22" s="55"/>
      <c r="F22" s="55" t="s">
        <v>24</v>
      </c>
      <c r="G22" s="55">
        <v>9</v>
      </c>
      <c r="H22" s="55">
        <v>1</v>
      </c>
      <c r="I22" s="41">
        <v>2162.6999999999998</v>
      </c>
      <c r="J22" s="41">
        <v>2143.1</v>
      </c>
      <c r="K22" s="41">
        <f>J22-130.9</f>
        <v>2012.1999999999998</v>
      </c>
      <c r="L22" s="105">
        <v>105</v>
      </c>
      <c r="M22" s="41">
        <v>2776152</v>
      </c>
      <c r="N22" s="41">
        <v>0</v>
      </c>
      <c r="O22" s="41">
        <v>0</v>
      </c>
      <c r="P22" s="41">
        <f t="shared" si="2"/>
        <v>2776152</v>
      </c>
      <c r="Q22" s="41">
        <v>0</v>
      </c>
      <c r="R22" s="41">
        <v>0</v>
      </c>
      <c r="S22" s="41">
        <f t="shared" si="1"/>
        <v>1295.3907890439084</v>
      </c>
      <c r="T22" s="53">
        <v>7822</v>
      </c>
      <c r="U22" s="90" t="s">
        <v>69</v>
      </c>
    </row>
    <row r="23" spans="2:21" s="44" customFormat="1" x14ac:dyDescent="0.25">
      <c r="B23" s="89">
        <v>7</v>
      </c>
      <c r="C23" s="77" t="s">
        <v>125</v>
      </c>
      <c r="D23" s="55">
        <v>1962</v>
      </c>
      <c r="E23" s="55"/>
      <c r="F23" s="55" t="s">
        <v>25</v>
      </c>
      <c r="G23" s="55">
        <v>4</v>
      </c>
      <c r="H23" s="55">
        <v>4</v>
      </c>
      <c r="I23" s="41">
        <v>2739.6</v>
      </c>
      <c r="J23" s="41">
        <v>2545.6</v>
      </c>
      <c r="K23" s="41">
        <f>J23-180</f>
        <v>2365.6</v>
      </c>
      <c r="L23" s="105">
        <v>122</v>
      </c>
      <c r="M23" s="41">
        <v>1055807</v>
      </c>
      <c r="N23" s="41">
        <v>0</v>
      </c>
      <c r="O23" s="41">
        <v>0</v>
      </c>
      <c r="P23" s="41">
        <f t="shared" si="2"/>
        <v>1055807</v>
      </c>
      <c r="Q23" s="41">
        <v>0</v>
      </c>
      <c r="R23" s="41">
        <v>0</v>
      </c>
      <c r="S23" s="41">
        <f t="shared" si="1"/>
        <v>414.75762099308611</v>
      </c>
      <c r="T23" s="53">
        <v>7822</v>
      </c>
      <c r="U23" s="90" t="s">
        <v>69</v>
      </c>
    </row>
    <row r="24" spans="2:21" s="44" customFormat="1" x14ac:dyDescent="0.25">
      <c r="B24" s="89">
        <v>8</v>
      </c>
      <c r="C24" s="77" t="s">
        <v>134</v>
      </c>
      <c r="D24" s="55">
        <v>1958</v>
      </c>
      <c r="E24" s="55"/>
      <c r="F24" s="55" t="s">
        <v>25</v>
      </c>
      <c r="G24" s="55">
        <v>5</v>
      </c>
      <c r="H24" s="55">
        <v>4</v>
      </c>
      <c r="I24" s="41">
        <v>3577.5</v>
      </c>
      <c r="J24" s="41">
        <v>3337.6</v>
      </c>
      <c r="K24" s="41">
        <f>J24-169.5-213.8</f>
        <v>2954.2999999999997</v>
      </c>
      <c r="L24" s="105">
        <v>127</v>
      </c>
      <c r="M24" s="41">
        <v>2108843</v>
      </c>
      <c r="N24" s="41">
        <v>0</v>
      </c>
      <c r="O24" s="41">
        <v>0</v>
      </c>
      <c r="P24" s="41">
        <f t="shared" si="2"/>
        <v>2108843</v>
      </c>
      <c r="Q24" s="41">
        <v>0</v>
      </c>
      <c r="R24" s="41">
        <v>0</v>
      </c>
      <c r="S24" s="41">
        <f t="shared" si="1"/>
        <v>631.84413950143812</v>
      </c>
      <c r="T24" s="53">
        <v>7822</v>
      </c>
      <c r="U24" s="90" t="s">
        <v>69</v>
      </c>
    </row>
    <row r="25" spans="2:21" x14ac:dyDescent="0.25">
      <c r="B25" s="91">
        <v>9</v>
      </c>
      <c r="C25" s="77" t="s">
        <v>68</v>
      </c>
      <c r="D25" s="55">
        <v>1972</v>
      </c>
      <c r="E25" s="55"/>
      <c r="F25" s="55" t="s">
        <v>24</v>
      </c>
      <c r="G25" s="55">
        <v>9</v>
      </c>
      <c r="H25" s="55">
        <v>2</v>
      </c>
      <c r="I25" s="41">
        <v>3872.1</v>
      </c>
      <c r="J25" s="41">
        <v>3838.8</v>
      </c>
      <c r="K25" s="41">
        <f>J25-257.1</f>
        <v>3581.7000000000003</v>
      </c>
      <c r="L25" s="105">
        <v>169</v>
      </c>
      <c r="M25" s="76">
        <v>1558282</v>
      </c>
      <c r="N25" s="41">
        <v>0</v>
      </c>
      <c r="O25" s="41">
        <v>0</v>
      </c>
      <c r="P25" s="41">
        <f t="shared" si="2"/>
        <v>1558282</v>
      </c>
      <c r="Q25" s="41">
        <v>0</v>
      </c>
      <c r="R25" s="41">
        <v>0</v>
      </c>
      <c r="S25" s="41">
        <f t="shared" si="1"/>
        <v>405.92945712201725</v>
      </c>
      <c r="T25" s="53">
        <v>7822</v>
      </c>
      <c r="U25" s="90" t="s">
        <v>69</v>
      </c>
    </row>
    <row r="26" spans="2:21" s="44" customFormat="1" x14ac:dyDescent="0.25">
      <c r="B26" s="89">
        <v>10</v>
      </c>
      <c r="C26" s="77" t="s">
        <v>84</v>
      </c>
      <c r="D26" s="55">
        <v>1986</v>
      </c>
      <c r="E26" s="55"/>
      <c r="F26" s="55" t="s">
        <v>25</v>
      </c>
      <c r="G26" s="55">
        <v>9</v>
      </c>
      <c r="H26" s="55">
        <v>2</v>
      </c>
      <c r="I26" s="41">
        <v>7521.6</v>
      </c>
      <c r="J26" s="41">
        <v>7484.7</v>
      </c>
      <c r="K26" s="41">
        <f>J26-278.2</f>
        <v>7206.5</v>
      </c>
      <c r="L26" s="105">
        <v>310</v>
      </c>
      <c r="M26" s="41">
        <v>7592128</v>
      </c>
      <c r="N26" s="41">
        <v>0</v>
      </c>
      <c r="O26" s="41">
        <v>0</v>
      </c>
      <c r="P26" s="41">
        <f t="shared" si="2"/>
        <v>7592128</v>
      </c>
      <c r="Q26" s="41">
        <v>0</v>
      </c>
      <c r="R26" s="41">
        <v>0</v>
      </c>
      <c r="S26" s="41">
        <f t="shared" si="1"/>
        <v>1014.3530134808343</v>
      </c>
      <c r="T26" s="53">
        <v>7822</v>
      </c>
      <c r="U26" s="90" t="s">
        <v>69</v>
      </c>
    </row>
    <row r="27" spans="2:21" s="44" customFormat="1" x14ac:dyDescent="0.25">
      <c r="B27" s="89">
        <v>11</v>
      </c>
      <c r="C27" s="77" t="s">
        <v>128</v>
      </c>
      <c r="D27" s="55">
        <v>1955</v>
      </c>
      <c r="E27" s="55"/>
      <c r="F27" s="55" t="s">
        <v>25</v>
      </c>
      <c r="G27" s="55">
        <v>3</v>
      </c>
      <c r="H27" s="55">
        <v>3</v>
      </c>
      <c r="I27" s="41">
        <v>2398.9</v>
      </c>
      <c r="J27" s="41">
        <v>2188.3000000000002</v>
      </c>
      <c r="K27" s="41">
        <f>J27-236.1</f>
        <v>1952.2000000000003</v>
      </c>
      <c r="L27" s="105">
        <v>95</v>
      </c>
      <c r="M27" s="41">
        <v>6420018</v>
      </c>
      <c r="N27" s="41">
        <v>0</v>
      </c>
      <c r="O27" s="41">
        <v>0</v>
      </c>
      <c r="P27" s="41">
        <f t="shared" si="2"/>
        <v>6420018</v>
      </c>
      <c r="Q27" s="41">
        <v>0</v>
      </c>
      <c r="R27" s="41">
        <v>0</v>
      </c>
      <c r="S27" s="41">
        <f t="shared" si="1"/>
        <v>2933.7924416213496</v>
      </c>
      <c r="T27" s="53">
        <v>7822</v>
      </c>
      <c r="U27" s="90" t="s">
        <v>69</v>
      </c>
    </row>
    <row r="28" spans="2:21" s="44" customFormat="1" x14ac:dyDescent="0.25">
      <c r="B28" s="89">
        <v>12</v>
      </c>
      <c r="C28" s="77" t="s">
        <v>107</v>
      </c>
      <c r="D28" s="55">
        <v>1973</v>
      </c>
      <c r="E28" s="55"/>
      <c r="F28" s="55" t="s">
        <v>24</v>
      </c>
      <c r="G28" s="55">
        <v>5</v>
      </c>
      <c r="H28" s="55">
        <v>6</v>
      </c>
      <c r="I28" s="41">
        <v>4767.6000000000004</v>
      </c>
      <c r="J28" s="41">
        <v>4359.5</v>
      </c>
      <c r="K28" s="41">
        <f>J28-571.2-167.5</f>
        <v>3620.8</v>
      </c>
      <c r="L28" s="105">
        <v>230</v>
      </c>
      <c r="M28" s="41">
        <v>2999405</v>
      </c>
      <c r="N28" s="41">
        <v>0</v>
      </c>
      <c r="O28" s="41">
        <v>0</v>
      </c>
      <c r="P28" s="41">
        <f t="shared" si="2"/>
        <v>2999405</v>
      </c>
      <c r="Q28" s="41">
        <v>0</v>
      </c>
      <c r="R28" s="41">
        <v>0</v>
      </c>
      <c r="S28" s="41">
        <f t="shared" si="1"/>
        <v>688.01582750315401</v>
      </c>
      <c r="T28" s="53">
        <v>7822</v>
      </c>
      <c r="U28" s="90" t="s">
        <v>69</v>
      </c>
    </row>
    <row r="29" spans="2:21" s="44" customFormat="1" x14ac:dyDescent="0.25">
      <c r="B29" s="89">
        <v>13</v>
      </c>
      <c r="C29" s="77" t="s">
        <v>146</v>
      </c>
      <c r="D29" s="55">
        <v>1973</v>
      </c>
      <c r="E29" s="55"/>
      <c r="F29" s="55" t="s">
        <v>24</v>
      </c>
      <c r="G29" s="55">
        <v>5</v>
      </c>
      <c r="H29" s="55">
        <v>6</v>
      </c>
      <c r="I29" s="41">
        <v>4771.1000000000004</v>
      </c>
      <c r="J29" s="41">
        <v>4364.3999999999996</v>
      </c>
      <c r="K29" s="41">
        <f>J29-178</f>
        <v>4186.3999999999996</v>
      </c>
      <c r="L29" s="105">
        <v>221</v>
      </c>
      <c r="M29" s="41">
        <v>3061843</v>
      </c>
      <c r="N29" s="41">
        <v>0</v>
      </c>
      <c r="O29" s="41">
        <v>0</v>
      </c>
      <c r="P29" s="41">
        <f t="shared" si="2"/>
        <v>3061843</v>
      </c>
      <c r="Q29" s="41">
        <v>0</v>
      </c>
      <c r="R29" s="41">
        <v>0</v>
      </c>
      <c r="S29" s="41">
        <f t="shared" si="1"/>
        <v>701.54958298964357</v>
      </c>
      <c r="T29" s="53">
        <v>7822</v>
      </c>
      <c r="U29" s="90" t="s">
        <v>69</v>
      </c>
    </row>
    <row r="30" spans="2:21" s="44" customFormat="1" x14ac:dyDescent="0.25">
      <c r="B30" s="89">
        <v>14</v>
      </c>
      <c r="C30" s="77" t="s">
        <v>141</v>
      </c>
      <c r="D30" s="55">
        <v>1914</v>
      </c>
      <c r="E30" s="55"/>
      <c r="F30" s="55" t="s">
        <v>25</v>
      </c>
      <c r="G30" s="55">
        <v>4</v>
      </c>
      <c r="H30" s="55">
        <v>5</v>
      </c>
      <c r="I30" s="41">
        <v>2953.4</v>
      </c>
      <c r="J30" s="41">
        <v>2592.5</v>
      </c>
      <c r="K30" s="41">
        <f>J30-231.93</f>
        <v>2360.5700000000002</v>
      </c>
      <c r="L30" s="105">
        <v>90</v>
      </c>
      <c r="M30" s="41">
        <v>7761808</v>
      </c>
      <c r="N30" s="41">
        <v>0</v>
      </c>
      <c r="O30" s="41">
        <v>0</v>
      </c>
      <c r="P30" s="41">
        <f t="shared" si="2"/>
        <v>7761808</v>
      </c>
      <c r="Q30" s="41">
        <v>0</v>
      </c>
      <c r="R30" s="41">
        <v>0</v>
      </c>
      <c r="S30" s="41">
        <f t="shared" si="1"/>
        <v>2993.9471552555447</v>
      </c>
      <c r="T30" s="53">
        <v>7822</v>
      </c>
      <c r="U30" s="90" t="s">
        <v>69</v>
      </c>
    </row>
    <row r="31" spans="2:21" x14ac:dyDescent="0.25">
      <c r="B31" s="91">
        <v>15</v>
      </c>
      <c r="C31" s="77" t="s">
        <v>86</v>
      </c>
      <c r="D31" s="55">
        <v>1911</v>
      </c>
      <c r="E31" s="55"/>
      <c r="F31" s="55" t="s">
        <v>25</v>
      </c>
      <c r="G31" s="55">
        <v>4</v>
      </c>
      <c r="H31" s="55">
        <v>3</v>
      </c>
      <c r="I31" s="41">
        <v>5263.4</v>
      </c>
      <c r="J31" s="41">
        <v>3002.4</v>
      </c>
      <c r="K31" s="41">
        <v>576.79999999999995</v>
      </c>
      <c r="L31" s="105">
        <v>302</v>
      </c>
      <c r="M31" s="41">
        <v>26280874</v>
      </c>
      <c r="N31" s="41">
        <v>0</v>
      </c>
      <c r="O31" s="41">
        <v>0</v>
      </c>
      <c r="P31" s="41">
        <f t="shared" si="2"/>
        <v>26280874</v>
      </c>
      <c r="Q31" s="41">
        <v>0</v>
      </c>
      <c r="R31" s="41">
        <v>0</v>
      </c>
      <c r="S31" s="41">
        <f t="shared" si="1"/>
        <v>8753.2887023714356</v>
      </c>
      <c r="T31" s="53">
        <v>7822</v>
      </c>
      <c r="U31" s="90" t="s">
        <v>69</v>
      </c>
    </row>
    <row r="32" spans="2:21" s="44" customFormat="1" x14ac:dyDescent="0.25">
      <c r="B32" s="89">
        <v>16</v>
      </c>
      <c r="C32" s="77" t="s">
        <v>106</v>
      </c>
      <c r="D32" s="55">
        <v>1907</v>
      </c>
      <c r="E32" s="55"/>
      <c r="F32" s="55" t="s">
        <v>48</v>
      </c>
      <c r="G32" s="55">
        <v>2</v>
      </c>
      <c r="H32" s="55">
        <v>1</v>
      </c>
      <c r="I32" s="41">
        <v>691.1</v>
      </c>
      <c r="J32" s="41">
        <v>660.5</v>
      </c>
      <c r="K32" s="41">
        <f>J32-19.87</f>
        <v>640.63</v>
      </c>
      <c r="L32" s="105">
        <v>32</v>
      </c>
      <c r="M32" s="41">
        <v>3712475</v>
      </c>
      <c r="N32" s="41">
        <v>0</v>
      </c>
      <c r="O32" s="41">
        <v>0</v>
      </c>
      <c r="P32" s="41">
        <f t="shared" si="2"/>
        <v>3712475</v>
      </c>
      <c r="Q32" s="41">
        <v>0</v>
      </c>
      <c r="R32" s="41">
        <v>0</v>
      </c>
      <c r="S32" s="41">
        <f t="shared" si="1"/>
        <v>5620.7040121120363</v>
      </c>
      <c r="T32" s="53">
        <v>7822</v>
      </c>
      <c r="U32" s="90" t="s">
        <v>69</v>
      </c>
    </row>
    <row r="33" spans="2:21" s="44" customFormat="1" x14ac:dyDescent="0.25">
      <c r="B33" s="89">
        <v>17</v>
      </c>
      <c r="C33" s="77" t="s">
        <v>76</v>
      </c>
      <c r="D33" s="55" t="s">
        <v>85</v>
      </c>
      <c r="E33" s="55"/>
      <c r="F33" s="55" t="s">
        <v>25</v>
      </c>
      <c r="G33" s="55">
        <v>4</v>
      </c>
      <c r="H33" s="55">
        <v>1</v>
      </c>
      <c r="I33" s="41">
        <v>7333.1</v>
      </c>
      <c r="J33" s="41">
        <v>4455.8</v>
      </c>
      <c r="K33" s="41">
        <f>J33-3059.3</f>
        <v>1396.5</v>
      </c>
      <c r="L33" s="105">
        <v>330</v>
      </c>
      <c r="M33" s="41">
        <v>10172902</v>
      </c>
      <c r="N33" s="41">
        <v>0</v>
      </c>
      <c r="O33" s="41">
        <v>0</v>
      </c>
      <c r="P33" s="41">
        <f t="shared" si="2"/>
        <v>10172902</v>
      </c>
      <c r="Q33" s="41">
        <v>0</v>
      </c>
      <c r="R33" s="41">
        <v>0</v>
      </c>
      <c r="S33" s="41">
        <f t="shared" si="1"/>
        <v>2283.0697068988734</v>
      </c>
      <c r="T33" s="53">
        <v>7822</v>
      </c>
      <c r="U33" s="90" t="s">
        <v>69</v>
      </c>
    </row>
    <row r="34" spans="2:21" s="44" customFormat="1" x14ac:dyDescent="0.25">
      <c r="B34" s="89">
        <v>18</v>
      </c>
      <c r="C34" s="77" t="s">
        <v>117</v>
      </c>
      <c r="D34" s="55">
        <v>1957</v>
      </c>
      <c r="E34" s="55"/>
      <c r="F34" s="55" t="s">
        <v>25</v>
      </c>
      <c r="G34" s="55">
        <v>4</v>
      </c>
      <c r="H34" s="55">
        <v>2</v>
      </c>
      <c r="I34" s="41">
        <v>2558.1999999999998</v>
      </c>
      <c r="J34" s="41">
        <v>1925.6</v>
      </c>
      <c r="K34" s="41">
        <f>J34-129.6</f>
        <v>1796</v>
      </c>
      <c r="L34" s="105">
        <v>73</v>
      </c>
      <c r="M34" s="41">
        <v>1122522</v>
      </c>
      <c r="N34" s="41">
        <v>0</v>
      </c>
      <c r="O34" s="41">
        <v>0</v>
      </c>
      <c r="P34" s="41">
        <f t="shared" si="2"/>
        <v>1122522</v>
      </c>
      <c r="Q34" s="41">
        <v>0</v>
      </c>
      <c r="R34" s="41">
        <v>0</v>
      </c>
      <c r="S34" s="41">
        <f t="shared" si="1"/>
        <v>582.94661404237638</v>
      </c>
      <c r="T34" s="53">
        <v>7822</v>
      </c>
      <c r="U34" s="90" t="s">
        <v>69</v>
      </c>
    </row>
    <row r="35" spans="2:21" s="44" customFormat="1" x14ac:dyDescent="0.25">
      <c r="B35" s="89">
        <v>19</v>
      </c>
      <c r="C35" s="77" t="s">
        <v>123</v>
      </c>
      <c r="D35" s="55">
        <v>1853</v>
      </c>
      <c r="E35" s="55"/>
      <c r="F35" s="55" t="s">
        <v>48</v>
      </c>
      <c r="G35" s="55">
        <v>2</v>
      </c>
      <c r="H35" s="55">
        <v>2</v>
      </c>
      <c r="I35" s="41">
        <v>574.29999999999995</v>
      </c>
      <c r="J35" s="41">
        <v>483.2</v>
      </c>
      <c r="K35" s="41">
        <f>J35-29.1</f>
        <v>454.09999999999997</v>
      </c>
      <c r="L35" s="105">
        <v>26</v>
      </c>
      <c r="M35" s="41">
        <v>1086522</v>
      </c>
      <c r="N35" s="41">
        <v>0</v>
      </c>
      <c r="O35" s="41">
        <v>0</v>
      </c>
      <c r="P35" s="41">
        <f t="shared" si="2"/>
        <v>1086522</v>
      </c>
      <c r="Q35" s="41">
        <v>0</v>
      </c>
      <c r="R35" s="41">
        <v>0</v>
      </c>
      <c r="S35" s="41">
        <f t="shared" si="1"/>
        <v>2248.5968543046356</v>
      </c>
      <c r="T35" s="53">
        <v>7822</v>
      </c>
      <c r="U35" s="90" t="s">
        <v>69</v>
      </c>
    </row>
    <row r="36" spans="2:21" s="44" customFormat="1" x14ac:dyDescent="0.25">
      <c r="B36" s="89">
        <v>20</v>
      </c>
      <c r="C36" s="77" t="s">
        <v>133</v>
      </c>
      <c r="D36" s="55">
        <v>1973</v>
      </c>
      <c r="E36" s="55"/>
      <c r="F36" s="55" t="s">
        <v>24</v>
      </c>
      <c r="G36" s="55">
        <v>5</v>
      </c>
      <c r="H36" s="55">
        <v>6</v>
      </c>
      <c r="I36" s="41">
        <v>4761.5</v>
      </c>
      <c r="J36" s="41">
        <v>4271.2</v>
      </c>
      <c r="K36" s="41">
        <f>J36-217.12</f>
        <v>4054.08</v>
      </c>
      <c r="L36" s="105">
        <v>221</v>
      </c>
      <c r="M36" s="41">
        <v>2565281</v>
      </c>
      <c r="N36" s="41">
        <v>0</v>
      </c>
      <c r="O36" s="41">
        <v>0</v>
      </c>
      <c r="P36" s="41">
        <f t="shared" si="2"/>
        <v>2565281</v>
      </c>
      <c r="Q36" s="41">
        <v>0</v>
      </c>
      <c r="R36" s="41">
        <v>0</v>
      </c>
      <c r="S36" s="41">
        <f t="shared" si="1"/>
        <v>600.59959730286573</v>
      </c>
      <c r="T36" s="53">
        <v>7822</v>
      </c>
      <c r="U36" s="90" t="s">
        <v>69</v>
      </c>
    </row>
    <row r="37" spans="2:21" s="44" customFormat="1" x14ac:dyDescent="0.25">
      <c r="B37" s="89">
        <v>21</v>
      </c>
      <c r="C37" s="77" t="s">
        <v>114</v>
      </c>
      <c r="D37" s="55">
        <v>1977</v>
      </c>
      <c r="E37" s="55"/>
      <c r="F37" s="55" t="s">
        <v>24</v>
      </c>
      <c r="G37" s="55">
        <v>9</v>
      </c>
      <c r="H37" s="55">
        <v>3</v>
      </c>
      <c r="I37" s="41">
        <v>6527.1</v>
      </c>
      <c r="J37" s="41">
        <v>5844.4</v>
      </c>
      <c r="K37" s="41">
        <f>J37-137.3</f>
        <v>5707.0999999999995</v>
      </c>
      <c r="L37" s="105">
        <v>258</v>
      </c>
      <c r="M37" s="41">
        <v>5807404</v>
      </c>
      <c r="N37" s="41">
        <v>0</v>
      </c>
      <c r="O37" s="41">
        <v>0</v>
      </c>
      <c r="P37" s="41">
        <f t="shared" si="2"/>
        <v>5807404</v>
      </c>
      <c r="Q37" s="41">
        <v>0</v>
      </c>
      <c r="R37" s="41">
        <v>0</v>
      </c>
      <c r="S37" s="41">
        <f t="shared" si="1"/>
        <v>993.66983779344332</v>
      </c>
      <c r="T37" s="53">
        <v>7822</v>
      </c>
      <c r="U37" s="90" t="s">
        <v>69</v>
      </c>
    </row>
    <row r="38" spans="2:21" s="44" customFormat="1" x14ac:dyDescent="0.25">
      <c r="B38" s="89">
        <v>22</v>
      </c>
      <c r="C38" s="77" t="s">
        <v>144</v>
      </c>
      <c r="D38" s="55">
        <v>1925</v>
      </c>
      <c r="E38" s="55"/>
      <c r="F38" s="55" t="s">
        <v>48</v>
      </c>
      <c r="G38" s="55">
        <v>2</v>
      </c>
      <c r="H38" s="55">
        <v>2</v>
      </c>
      <c r="I38" s="41">
        <v>440</v>
      </c>
      <c r="J38" s="41">
        <v>411.5</v>
      </c>
      <c r="K38" s="41">
        <f>J38-102.4</f>
        <v>309.10000000000002</v>
      </c>
      <c r="L38" s="105">
        <v>20</v>
      </c>
      <c r="M38" s="41">
        <v>966044</v>
      </c>
      <c r="N38" s="41">
        <v>0</v>
      </c>
      <c r="O38" s="41">
        <v>0</v>
      </c>
      <c r="P38" s="41">
        <f t="shared" si="2"/>
        <v>966044</v>
      </c>
      <c r="Q38" s="41">
        <v>0</v>
      </c>
      <c r="R38" s="41">
        <v>0</v>
      </c>
      <c r="S38" s="41">
        <f t="shared" si="1"/>
        <v>2347.6160388821386</v>
      </c>
      <c r="T38" s="53">
        <v>7822</v>
      </c>
      <c r="U38" s="90" t="s">
        <v>69</v>
      </c>
    </row>
    <row r="39" spans="2:21" s="44" customFormat="1" x14ac:dyDescent="0.25">
      <c r="B39" s="89">
        <v>23</v>
      </c>
      <c r="C39" s="77" t="s">
        <v>102</v>
      </c>
      <c r="D39" s="55">
        <v>1980</v>
      </c>
      <c r="E39" s="55"/>
      <c r="F39" s="55" t="s">
        <v>25</v>
      </c>
      <c r="G39" s="55">
        <v>9</v>
      </c>
      <c r="H39" s="55">
        <v>1</v>
      </c>
      <c r="I39" s="41">
        <v>3671</v>
      </c>
      <c r="J39" s="41">
        <v>3334</v>
      </c>
      <c r="K39" s="41">
        <f>J39-120.1-245.9</f>
        <v>2968</v>
      </c>
      <c r="L39" s="105">
        <v>139</v>
      </c>
      <c r="M39" s="41">
        <v>3278155</v>
      </c>
      <c r="N39" s="41">
        <v>0</v>
      </c>
      <c r="O39" s="41">
        <v>0</v>
      </c>
      <c r="P39" s="41">
        <f t="shared" si="2"/>
        <v>3278155</v>
      </c>
      <c r="Q39" s="41">
        <v>0</v>
      </c>
      <c r="R39" s="41">
        <v>0</v>
      </c>
      <c r="S39" s="41">
        <f t="shared" si="1"/>
        <v>983.24985002999404</v>
      </c>
      <c r="T39" s="53">
        <v>7822</v>
      </c>
      <c r="U39" s="90" t="s">
        <v>69</v>
      </c>
    </row>
    <row r="40" spans="2:21" s="44" customFormat="1" x14ac:dyDescent="0.25">
      <c r="B40" s="89">
        <v>24</v>
      </c>
      <c r="C40" s="77" t="s">
        <v>103</v>
      </c>
      <c r="D40" s="55">
        <v>1980</v>
      </c>
      <c r="E40" s="55"/>
      <c r="F40" s="55" t="s">
        <v>25</v>
      </c>
      <c r="G40" s="55">
        <v>9</v>
      </c>
      <c r="H40" s="55">
        <v>1</v>
      </c>
      <c r="I40" s="41">
        <v>3276.1</v>
      </c>
      <c r="J40" s="41">
        <v>3217</v>
      </c>
      <c r="K40" s="41">
        <f>J40-153.7</f>
        <v>3063.3</v>
      </c>
      <c r="L40" s="105">
        <v>106</v>
      </c>
      <c r="M40" s="41">
        <v>3278842</v>
      </c>
      <c r="N40" s="41">
        <v>0</v>
      </c>
      <c r="O40" s="41">
        <v>0</v>
      </c>
      <c r="P40" s="41">
        <f t="shared" si="2"/>
        <v>3278842</v>
      </c>
      <c r="Q40" s="41">
        <v>0</v>
      </c>
      <c r="R40" s="41">
        <v>0</v>
      </c>
      <c r="S40" s="41">
        <f t="shared" si="1"/>
        <v>1019.2235001554243</v>
      </c>
      <c r="T40" s="53">
        <v>7822</v>
      </c>
      <c r="U40" s="90" t="s">
        <v>69</v>
      </c>
    </row>
    <row r="41" spans="2:21" s="44" customFormat="1" x14ac:dyDescent="0.25">
      <c r="B41" s="89">
        <v>25</v>
      </c>
      <c r="C41" s="77" t="s">
        <v>100</v>
      </c>
      <c r="D41" s="55">
        <v>1979</v>
      </c>
      <c r="E41" s="55"/>
      <c r="F41" s="55" t="s">
        <v>24</v>
      </c>
      <c r="G41" s="55">
        <v>9</v>
      </c>
      <c r="H41" s="55">
        <v>9</v>
      </c>
      <c r="I41" s="41">
        <v>20630.900000000001</v>
      </c>
      <c r="J41" s="41">
        <v>18516.2</v>
      </c>
      <c r="K41" s="41">
        <f>J41-1798</f>
        <v>16718.2</v>
      </c>
      <c r="L41" s="105">
        <v>738</v>
      </c>
      <c r="M41" s="41">
        <v>17768682</v>
      </c>
      <c r="N41" s="41">
        <v>0</v>
      </c>
      <c r="O41" s="41">
        <v>0</v>
      </c>
      <c r="P41" s="41">
        <f t="shared" si="2"/>
        <v>17768682</v>
      </c>
      <c r="Q41" s="41">
        <v>0</v>
      </c>
      <c r="R41" s="41">
        <v>0</v>
      </c>
      <c r="S41" s="41">
        <f t="shared" si="1"/>
        <v>959.62897354748816</v>
      </c>
      <c r="T41" s="53">
        <v>7822</v>
      </c>
      <c r="U41" s="90" t="s">
        <v>69</v>
      </c>
    </row>
    <row r="42" spans="2:21" x14ac:dyDescent="0.25">
      <c r="B42" s="89">
        <v>26</v>
      </c>
      <c r="C42" s="77" t="s">
        <v>87</v>
      </c>
      <c r="D42" s="55">
        <v>1989</v>
      </c>
      <c r="E42" s="55"/>
      <c r="F42" s="55" t="s">
        <v>25</v>
      </c>
      <c r="G42" s="55" t="s">
        <v>158</v>
      </c>
      <c r="H42" s="55">
        <v>4</v>
      </c>
      <c r="I42" s="41">
        <v>5597.4</v>
      </c>
      <c r="J42" s="41">
        <v>4704.5</v>
      </c>
      <c r="K42" s="41">
        <f>J42-306.9</f>
        <v>4397.6000000000004</v>
      </c>
      <c r="L42" s="105">
        <v>156</v>
      </c>
      <c r="M42" s="41">
        <v>3871897</v>
      </c>
      <c r="N42" s="41">
        <v>0</v>
      </c>
      <c r="O42" s="41">
        <v>0</v>
      </c>
      <c r="P42" s="41">
        <f t="shared" si="2"/>
        <v>3871897</v>
      </c>
      <c r="Q42" s="41">
        <v>0</v>
      </c>
      <c r="R42" s="41">
        <v>0</v>
      </c>
      <c r="S42" s="41">
        <f t="shared" si="1"/>
        <v>823.01987458816029</v>
      </c>
      <c r="T42" s="53">
        <v>7822</v>
      </c>
      <c r="U42" s="90" t="s">
        <v>69</v>
      </c>
    </row>
    <row r="43" spans="2:21" s="44" customFormat="1" x14ac:dyDescent="0.25">
      <c r="B43" s="89">
        <v>27</v>
      </c>
      <c r="C43" s="77" t="s">
        <v>122</v>
      </c>
      <c r="D43" s="55">
        <v>1982</v>
      </c>
      <c r="E43" s="55"/>
      <c r="F43" s="55" t="s">
        <v>24</v>
      </c>
      <c r="G43" s="55">
        <v>9</v>
      </c>
      <c r="H43" s="55">
        <v>1</v>
      </c>
      <c r="I43" s="41">
        <v>5961.7</v>
      </c>
      <c r="J43" s="41">
        <v>5581.4</v>
      </c>
      <c r="K43" s="41">
        <f>J43-110.2-141.9</f>
        <v>5329.3</v>
      </c>
      <c r="L43" s="105">
        <v>319</v>
      </c>
      <c r="M43" s="41">
        <v>3878124</v>
      </c>
      <c r="N43" s="41">
        <v>0</v>
      </c>
      <c r="O43" s="41">
        <v>0</v>
      </c>
      <c r="P43" s="41">
        <f t="shared" si="2"/>
        <v>3878124</v>
      </c>
      <c r="Q43" s="41">
        <v>0</v>
      </c>
      <c r="R43" s="41">
        <v>0</v>
      </c>
      <c r="S43" s="41">
        <f t="shared" si="1"/>
        <v>694.82997097502425</v>
      </c>
      <c r="T43" s="53">
        <v>7822</v>
      </c>
      <c r="U43" s="90" t="s">
        <v>69</v>
      </c>
    </row>
    <row r="44" spans="2:21" x14ac:dyDescent="0.25">
      <c r="B44" s="89">
        <v>28</v>
      </c>
      <c r="C44" s="77" t="s">
        <v>95</v>
      </c>
      <c r="D44" s="55">
        <v>1974</v>
      </c>
      <c r="E44" s="55"/>
      <c r="F44" s="55" t="s">
        <v>24</v>
      </c>
      <c r="G44" s="55">
        <v>5</v>
      </c>
      <c r="H44" s="55">
        <v>6</v>
      </c>
      <c r="I44" s="41">
        <v>4975.8</v>
      </c>
      <c r="J44" s="41">
        <v>4515.3</v>
      </c>
      <c r="K44" s="41">
        <f>J44-191.3</f>
        <v>4324</v>
      </c>
      <c r="L44" s="105">
        <v>209</v>
      </c>
      <c r="M44" s="41">
        <v>3301568</v>
      </c>
      <c r="N44" s="41">
        <v>0</v>
      </c>
      <c r="O44" s="41">
        <v>0</v>
      </c>
      <c r="P44" s="41">
        <f t="shared" si="2"/>
        <v>3301568</v>
      </c>
      <c r="Q44" s="41">
        <v>0</v>
      </c>
      <c r="R44" s="41">
        <v>0</v>
      </c>
      <c r="S44" s="41">
        <f t="shared" si="1"/>
        <v>731.19571235576814</v>
      </c>
      <c r="T44" s="53">
        <v>7822</v>
      </c>
      <c r="U44" s="90" t="s">
        <v>69</v>
      </c>
    </row>
    <row r="45" spans="2:21" s="44" customFormat="1" x14ac:dyDescent="0.25">
      <c r="B45" s="89">
        <v>29</v>
      </c>
      <c r="C45" s="77" t="s">
        <v>130</v>
      </c>
      <c r="D45" s="55">
        <v>1980</v>
      </c>
      <c r="E45" s="55"/>
      <c r="F45" s="55" t="s">
        <v>24</v>
      </c>
      <c r="G45" s="55">
        <v>9</v>
      </c>
      <c r="H45" s="55">
        <v>8</v>
      </c>
      <c r="I45" s="41">
        <v>18659.099999999999</v>
      </c>
      <c r="J45" s="41">
        <v>16639.599999999999</v>
      </c>
      <c r="K45" s="41">
        <f>J45-896-729.7</f>
        <v>15013.899999999998</v>
      </c>
      <c r="L45" s="105">
        <v>731</v>
      </c>
      <c r="M45" s="41">
        <v>9227754</v>
      </c>
      <c r="N45" s="41">
        <v>0</v>
      </c>
      <c r="O45" s="41">
        <v>0</v>
      </c>
      <c r="P45" s="41">
        <f t="shared" si="2"/>
        <v>9227754</v>
      </c>
      <c r="Q45" s="41">
        <v>0</v>
      </c>
      <c r="R45" s="41">
        <v>0</v>
      </c>
      <c r="S45" s="41">
        <f t="shared" si="1"/>
        <v>554.56585494843625</v>
      </c>
      <c r="T45" s="53">
        <v>7822</v>
      </c>
      <c r="U45" s="90" t="s">
        <v>69</v>
      </c>
    </row>
    <row r="46" spans="2:21" s="44" customFormat="1" x14ac:dyDescent="0.25">
      <c r="B46" s="91">
        <v>30</v>
      </c>
      <c r="C46" s="77" t="s">
        <v>74</v>
      </c>
      <c r="D46" s="55">
        <v>1955</v>
      </c>
      <c r="E46" s="55"/>
      <c r="F46" s="55" t="s">
        <v>25</v>
      </c>
      <c r="G46" s="55">
        <v>2</v>
      </c>
      <c r="H46" s="55">
        <v>2</v>
      </c>
      <c r="I46" s="41">
        <v>512</v>
      </c>
      <c r="J46" s="41">
        <v>468.9</v>
      </c>
      <c r="K46" s="41">
        <f>J46-55.2</f>
        <v>413.7</v>
      </c>
      <c r="L46" s="105">
        <v>29</v>
      </c>
      <c r="M46" s="41">
        <v>697211</v>
      </c>
      <c r="N46" s="41">
        <v>0</v>
      </c>
      <c r="O46" s="41">
        <v>0</v>
      </c>
      <c r="P46" s="41">
        <f t="shared" si="2"/>
        <v>697211</v>
      </c>
      <c r="Q46" s="41">
        <v>0</v>
      </c>
      <c r="R46" s="41">
        <v>0</v>
      </c>
      <c r="S46" s="41">
        <f t="shared" si="1"/>
        <v>1486.9076562166774</v>
      </c>
      <c r="T46" s="53">
        <v>7822</v>
      </c>
      <c r="U46" s="90" t="s">
        <v>69</v>
      </c>
    </row>
    <row r="47" spans="2:21" s="44" customFormat="1" x14ac:dyDescent="0.25">
      <c r="B47" s="89">
        <v>31</v>
      </c>
      <c r="C47" s="77" t="s">
        <v>78</v>
      </c>
      <c r="D47" s="55">
        <v>1955</v>
      </c>
      <c r="E47" s="55"/>
      <c r="F47" s="55" t="s">
        <v>25</v>
      </c>
      <c r="G47" s="55">
        <v>2</v>
      </c>
      <c r="H47" s="55">
        <v>2</v>
      </c>
      <c r="I47" s="41">
        <v>619.9</v>
      </c>
      <c r="J47" s="41">
        <v>561.6</v>
      </c>
      <c r="K47" s="41">
        <f>J47-174.6</f>
        <v>387</v>
      </c>
      <c r="L47" s="105">
        <v>45</v>
      </c>
      <c r="M47" s="41">
        <v>828397</v>
      </c>
      <c r="N47" s="41">
        <v>0</v>
      </c>
      <c r="O47" s="41">
        <v>0</v>
      </c>
      <c r="P47" s="41">
        <f t="shared" si="2"/>
        <v>828397</v>
      </c>
      <c r="Q47" s="41">
        <v>0</v>
      </c>
      <c r="R47" s="41">
        <v>0</v>
      </c>
      <c r="S47" s="41">
        <f t="shared" si="1"/>
        <v>1475.0658831908831</v>
      </c>
      <c r="T47" s="53">
        <v>7822</v>
      </c>
      <c r="U47" s="90" t="s">
        <v>69</v>
      </c>
    </row>
    <row r="48" spans="2:21" s="44" customFormat="1" x14ac:dyDescent="0.25">
      <c r="B48" s="89">
        <v>32</v>
      </c>
      <c r="C48" s="77" t="s">
        <v>116</v>
      </c>
      <c r="D48" s="55">
        <v>1989</v>
      </c>
      <c r="E48" s="55"/>
      <c r="F48" s="55" t="s">
        <v>24</v>
      </c>
      <c r="G48" s="55">
        <v>5</v>
      </c>
      <c r="H48" s="55">
        <v>5</v>
      </c>
      <c r="I48" s="41">
        <v>4367.3</v>
      </c>
      <c r="J48" s="41">
        <v>4022.6</v>
      </c>
      <c r="K48" s="41">
        <f>J48-1531</f>
        <v>2491.6</v>
      </c>
      <c r="L48" s="105">
        <v>135</v>
      </c>
      <c r="M48" s="41">
        <v>2689803</v>
      </c>
      <c r="N48" s="41">
        <v>0</v>
      </c>
      <c r="O48" s="41">
        <v>0</v>
      </c>
      <c r="P48" s="41">
        <f t="shared" si="2"/>
        <v>2689803</v>
      </c>
      <c r="Q48" s="41">
        <v>0</v>
      </c>
      <c r="R48" s="41">
        <v>0</v>
      </c>
      <c r="S48" s="41">
        <f t="shared" si="1"/>
        <v>668.67274896832896</v>
      </c>
      <c r="T48" s="53">
        <v>7822</v>
      </c>
      <c r="U48" s="90" t="s">
        <v>69</v>
      </c>
    </row>
    <row r="49" spans="2:21" x14ac:dyDescent="0.25">
      <c r="B49" s="91">
        <v>33</v>
      </c>
      <c r="C49" s="77" t="s">
        <v>44</v>
      </c>
      <c r="D49" s="55">
        <v>1955</v>
      </c>
      <c r="E49" s="55"/>
      <c r="F49" s="55" t="s">
        <v>25</v>
      </c>
      <c r="G49" s="55">
        <v>2</v>
      </c>
      <c r="H49" s="55">
        <v>2</v>
      </c>
      <c r="I49" s="41">
        <v>658.4</v>
      </c>
      <c r="J49" s="41">
        <v>585.79999999999995</v>
      </c>
      <c r="K49" s="41">
        <v>502</v>
      </c>
      <c r="L49" s="105">
        <v>27</v>
      </c>
      <c r="M49" s="41">
        <v>1390518</v>
      </c>
      <c r="N49" s="41">
        <v>0</v>
      </c>
      <c r="O49" s="41">
        <v>0</v>
      </c>
      <c r="P49" s="41">
        <f t="shared" si="2"/>
        <v>1390518</v>
      </c>
      <c r="Q49" s="41">
        <v>0</v>
      </c>
      <c r="R49" s="41">
        <v>0</v>
      </c>
      <c r="S49" s="41">
        <f t="shared" ref="S49:S79" si="3">M49/J49</f>
        <v>2373.7077500853534</v>
      </c>
      <c r="T49" s="53">
        <v>7822</v>
      </c>
      <c r="U49" s="90" t="s">
        <v>69</v>
      </c>
    </row>
    <row r="50" spans="2:21" s="44" customFormat="1" x14ac:dyDescent="0.25">
      <c r="B50" s="89">
        <v>34</v>
      </c>
      <c r="C50" s="77" t="s">
        <v>97</v>
      </c>
      <c r="D50" s="55">
        <v>1982</v>
      </c>
      <c r="E50" s="55"/>
      <c r="F50" s="55" t="s">
        <v>24</v>
      </c>
      <c r="G50" s="55">
        <v>9</v>
      </c>
      <c r="H50" s="55">
        <v>8</v>
      </c>
      <c r="I50" s="41">
        <v>17548.099999999999</v>
      </c>
      <c r="J50" s="41">
        <v>15610.9</v>
      </c>
      <c r="K50" s="41">
        <f>J50-1134.1</f>
        <v>14476.8</v>
      </c>
      <c r="L50" s="105">
        <v>585</v>
      </c>
      <c r="M50" s="41">
        <v>15700386</v>
      </c>
      <c r="N50" s="41">
        <v>0</v>
      </c>
      <c r="O50" s="41">
        <v>0</v>
      </c>
      <c r="P50" s="41">
        <f t="shared" si="2"/>
        <v>15700386</v>
      </c>
      <c r="Q50" s="41">
        <v>0</v>
      </c>
      <c r="R50" s="41">
        <v>0</v>
      </c>
      <c r="S50" s="41">
        <f t="shared" si="3"/>
        <v>1005.7322768065903</v>
      </c>
      <c r="T50" s="53">
        <v>7822</v>
      </c>
      <c r="U50" s="90" t="s">
        <v>69</v>
      </c>
    </row>
    <row r="51" spans="2:21" s="44" customFormat="1" x14ac:dyDescent="0.25">
      <c r="B51" s="89">
        <v>35</v>
      </c>
      <c r="C51" s="77" t="s">
        <v>124</v>
      </c>
      <c r="D51" s="55">
        <v>1975</v>
      </c>
      <c r="E51" s="55"/>
      <c r="F51" s="55" t="s">
        <v>24</v>
      </c>
      <c r="G51" s="55">
        <v>9</v>
      </c>
      <c r="H51" s="55">
        <v>2</v>
      </c>
      <c r="I51" s="41">
        <v>4342.3</v>
      </c>
      <c r="J51" s="41">
        <v>3881.7</v>
      </c>
      <c r="K51" s="41">
        <f>J51-114.8</f>
        <v>3766.8999999999996</v>
      </c>
      <c r="L51" s="105">
        <v>160</v>
      </c>
      <c r="M51" s="41">
        <v>3865973</v>
      </c>
      <c r="N51" s="41">
        <v>0</v>
      </c>
      <c r="O51" s="41">
        <v>0</v>
      </c>
      <c r="P51" s="41">
        <f t="shared" si="2"/>
        <v>3865973</v>
      </c>
      <c r="Q51" s="41">
        <v>0</v>
      </c>
      <c r="R51" s="41">
        <v>0</v>
      </c>
      <c r="S51" s="41">
        <f t="shared" si="3"/>
        <v>995.94842465929878</v>
      </c>
      <c r="T51" s="53">
        <v>7822</v>
      </c>
      <c r="U51" s="90" t="s">
        <v>69</v>
      </c>
    </row>
    <row r="52" spans="2:21" x14ac:dyDescent="0.25">
      <c r="B52" s="91">
        <v>36</v>
      </c>
      <c r="C52" s="77" t="s">
        <v>88</v>
      </c>
      <c r="D52" s="55">
        <v>1977</v>
      </c>
      <c r="E52" s="55"/>
      <c r="F52" s="55" t="s">
        <v>24</v>
      </c>
      <c r="G52" s="55">
        <v>9</v>
      </c>
      <c r="H52" s="55">
        <v>3</v>
      </c>
      <c r="I52" s="41">
        <v>5779.4</v>
      </c>
      <c r="J52" s="41">
        <v>5760.5</v>
      </c>
      <c r="K52" s="41">
        <f>J52-652.1</f>
        <v>5108.3999999999996</v>
      </c>
      <c r="L52" s="105">
        <v>228</v>
      </c>
      <c r="M52" s="41">
        <v>5806712</v>
      </c>
      <c r="N52" s="41">
        <v>0</v>
      </c>
      <c r="O52" s="41">
        <v>0</v>
      </c>
      <c r="P52" s="41">
        <f t="shared" si="2"/>
        <v>5806712</v>
      </c>
      <c r="Q52" s="41">
        <v>0</v>
      </c>
      <c r="R52" s="41">
        <v>0</v>
      </c>
      <c r="S52" s="41">
        <f t="shared" si="3"/>
        <v>1008.0222202933774</v>
      </c>
      <c r="T52" s="53">
        <v>7822</v>
      </c>
      <c r="U52" s="90" t="s">
        <v>69</v>
      </c>
    </row>
    <row r="53" spans="2:21" s="44" customFormat="1" x14ac:dyDescent="0.25">
      <c r="B53" s="89">
        <v>37</v>
      </c>
      <c r="C53" s="77" t="s">
        <v>132</v>
      </c>
      <c r="D53" s="55">
        <v>1987</v>
      </c>
      <c r="E53" s="55"/>
      <c r="F53" s="55" t="s">
        <v>24</v>
      </c>
      <c r="G53" s="55">
        <v>9</v>
      </c>
      <c r="H53" s="55">
        <v>1</v>
      </c>
      <c r="I53" s="41">
        <v>4150.2</v>
      </c>
      <c r="J53" s="41">
        <v>3840.4</v>
      </c>
      <c r="K53" s="41">
        <f>J53-208.2</f>
        <v>3632.2000000000003</v>
      </c>
      <c r="L53" s="105">
        <v>201</v>
      </c>
      <c r="M53" s="41">
        <v>2232590</v>
      </c>
      <c r="N53" s="41">
        <v>0</v>
      </c>
      <c r="O53" s="41">
        <v>0</v>
      </c>
      <c r="P53" s="41">
        <f t="shared" si="2"/>
        <v>2232590</v>
      </c>
      <c r="Q53" s="41">
        <v>0</v>
      </c>
      <c r="R53" s="41">
        <v>0</v>
      </c>
      <c r="S53" s="41">
        <f t="shared" si="3"/>
        <v>581.34308926153528</v>
      </c>
      <c r="T53" s="53">
        <v>7822</v>
      </c>
      <c r="U53" s="90" t="s">
        <v>69</v>
      </c>
    </row>
    <row r="54" spans="2:21" x14ac:dyDescent="0.25">
      <c r="B54" s="89">
        <v>38</v>
      </c>
      <c r="C54" s="77" t="s">
        <v>105</v>
      </c>
      <c r="D54" s="55">
        <v>1988</v>
      </c>
      <c r="E54" s="55"/>
      <c r="F54" s="55" t="s">
        <v>47</v>
      </c>
      <c r="G54" s="55">
        <v>9</v>
      </c>
      <c r="H54" s="55">
        <v>4</v>
      </c>
      <c r="I54" s="41">
        <v>8095.5</v>
      </c>
      <c r="J54" s="41">
        <v>8108.1</v>
      </c>
      <c r="K54" s="41">
        <f>J54-321-456.5</f>
        <v>7330.6</v>
      </c>
      <c r="L54" s="105">
        <v>345</v>
      </c>
      <c r="M54" s="41">
        <v>2836922</v>
      </c>
      <c r="N54" s="41">
        <v>0</v>
      </c>
      <c r="O54" s="41">
        <v>0</v>
      </c>
      <c r="P54" s="41">
        <f t="shared" si="2"/>
        <v>2836922</v>
      </c>
      <c r="Q54" s="41">
        <v>0</v>
      </c>
      <c r="R54" s="41">
        <v>0</v>
      </c>
      <c r="S54" s="41">
        <f t="shared" si="3"/>
        <v>349.88739655406323</v>
      </c>
      <c r="T54" s="53">
        <v>7822</v>
      </c>
      <c r="U54" s="90" t="s">
        <v>69</v>
      </c>
    </row>
    <row r="55" spans="2:21" s="44" customFormat="1" x14ac:dyDescent="0.25">
      <c r="B55" s="89">
        <v>39</v>
      </c>
      <c r="C55" s="77" t="s">
        <v>127</v>
      </c>
      <c r="D55" s="55">
        <v>1978</v>
      </c>
      <c r="E55" s="55"/>
      <c r="F55" s="55" t="s">
        <v>24</v>
      </c>
      <c r="G55" s="55">
        <v>5</v>
      </c>
      <c r="H55" s="55">
        <v>4</v>
      </c>
      <c r="I55" s="41">
        <v>3038.9</v>
      </c>
      <c r="J55" s="41">
        <v>2839</v>
      </c>
      <c r="K55" s="41">
        <f>J55-52.2</f>
        <v>2786.8</v>
      </c>
      <c r="L55" s="105">
        <v>128</v>
      </c>
      <c r="M55" s="41">
        <v>2030495</v>
      </c>
      <c r="N55" s="41">
        <v>0</v>
      </c>
      <c r="O55" s="41">
        <v>0</v>
      </c>
      <c r="P55" s="41">
        <f t="shared" si="2"/>
        <v>2030495</v>
      </c>
      <c r="Q55" s="41">
        <v>0</v>
      </c>
      <c r="R55" s="41">
        <v>0</v>
      </c>
      <c r="S55" s="41">
        <f t="shared" si="3"/>
        <v>715.21486438886927</v>
      </c>
      <c r="T55" s="53">
        <v>7822</v>
      </c>
      <c r="U55" s="90" t="s">
        <v>69</v>
      </c>
    </row>
    <row r="56" spans="2:21" s="44" customFormat="1" x14ac:dyDescent="0.25">
      <c r="B56" s="89">
        <v>40</v>
      </c>
      <c r="C56" s="77" t="s">
        <v>71</v>
      </c>
      <c r="D56" s="55">
        <v>1974</v>
      </c>
      <c r="E56" s="55"/>
      <c r="F56" s="55" t="s">
        <v>24</v>
      </c>
      <c r="G56" s="55">
        <v>9</v>
      </c>
      <c r="H56" s="55">
        <v>2</v>
      </c>
      <c r="I56" s="41">
        <v>4376.8</v>
      </c>
      <c r="J56" s="41">
        <v>3852.4</v>
      </c>
      <c r="K56" s="41">
        <f>J56-249.9</f>
        <v>3602.5</v>
      </c>
      <c r="L56" s="105">
        <v>177</v>
      </c>
      <c r="M56" s="41">
        <v>1761507</v>
      </c>
      <c r="N56" s="41">
        <v>0</v>
      </c>
      <c r="O56" s="41">
        <v>0</v>
      </c>
      <c r="P56" s="41">
        <f t="shared" si="2"/>
        <v>1761507</v>
      </c>
      <c r="Q56" s="41">
        <v>0</v>
      </c>
      <c r="R56" s="41">
        <v>0</v>
      </c>
      <c r="S56" s="41">
        <f t="shared" si="3"/>
        <v>457.24924722251063</v>
      </c>
      <c r="T56" s="53">
        <v>7822</v>
      </c>
      <c r="U56" s="90" t="s">
        <v>69</v>
      </c>
    </row>
    <row r="57" spans="2:21" x14ac:dyDescent="0.25">
      <c r="B57" s="89">
        <v>41</v>
      </c>
      <c r="C57" s="77" t="s">
        <v>70</v>
      </c>
      <c r="D57" s="55">
        <v>1974</v>
      </c>
      <c r="E57" s="55"/>
      <c r="F57" s="55" t="s">
        <v>24</v>
      </c>
      <c r="G57" s="55">
        <v>9</v>
      </c>
      <c r="H57" s="55">
        <v>2</v>
      </c>
      <c r="I57" s="41">
        <v>4329.84</v>
      </c>
      <c r="J57" s="41">
        <v>3860.8</v>
      </c>
      <c r="K57" s="41">
        <f>J57-148.9</f>
        <v>3711.9</v>
      </c>
      <c r="L57" s="105">
        <v>172</v>
      </c>
      <c r="M57" s="41">
        <v>1489178</v>
      </c>
      <c r="N57" s="41">
        <v>0</v>
      </c>
      <c r="O57" s="41">
        <v>0</v>
      </c>
      <c r="P57" s="41">
        <f t="shared" si="2"/>
        <v>1489178</v>
      </c>
      <c r="Q57" s="41">
        <v>0</v>
      </c>
      <c r="R57" s="41">
        <v>0</v>
      </c>
      <c r="S57" s="41">
        <f t="shared" si="3"/>
        <v>385.71746788230416</v>
      </c>
      <c r="T57" s="53">
        <v>7822</v>
      </c>
      <c r="U57" s="90" t="s">
        <v>69</v>
      </c>
    </row>
    <row r="58" spans="2:21" s="44" customFormat="1" x14ac:dyDescent="0.25">
      <c r="B58" s="89">
        <v>42</v>
      </c>
      <c r="C58" s="77" t="s">
        <v>135</v>
      </c>
      <c r="D58" s="55">
        <v>1991</v>
      </c>
      <c r="E58" s="55"/>
      <c r="F58" s="55" t="s">
        <v>24</v>
      </c>
      <c r="G58" s="55">
        <v>10</v>
      </c>
      <c r="H58" s="55">
        <v>2</v>
      </c>
      <c r="I58" s="41">
        <v>5754.7</v>
      </c>
      <c r="J58" s="41">
        <v>4999.1000000000004</v>
      </c>
      <c r="K58" s="41">
        <f>J58-126.5-492.5</f>
        <v>4380.1000000000004</v>
      </c>
      <c r="L58" s="105">
        <v>198</v>
      </c>
      <c r="M58" s="41">
        <v>3420500</v>
      </c>
      <c r="N58" s="41">
        <v>0</v>
      </c>
      <c r="O58" s="41">
        <v>0</v>
      </c>
      <c r="P58" s="41">
        <f t="shared" si="2"/>
        <v>3420500</v>
      </c>
      <c r="Q58" s="41">
        <v>0</v>
      </c>
      <c r="R58" s="41">
        <v>0</v>
      </c>
      <c r="S58" s="41">
        <f t="shared" si="3"/>
        <v>684.2231601688303</v>
      </c>
      <c r="T58" s="53">
        <v>7822</v>
      </c>
      <c r="U58" s="90" t="s">
        <v>69</v>
      </c>
    </row>
    <row r="59" spans="2:21" s="44" customFormat="1" x14ac:dyDescent="0.25">
      <c r="B59" s="89">
        <v>43</v>
      </c>
      <c r="C59" s="77" t="s">
        <v>139</v>
      </c>
      <c r="D59" s="55">
        <v>1990</v>
      </c>
      <c r="E59" s="55"/>
      <c r="F59" s="55" t="s">
        <v>24</v>
      </c>
      <c r="G59" s="55">
        <v>10</v>
      </c>
      <c r="H59" s="55">
        <v>3</v>
      </c>
      <c r="I59" s="41">
        <v>7901.7</v>
      </c>
      <c r="J59" s="41">
        <v>7094.3</v>
      </c>
      <c r="K59" s="41">
        <f>J59-382</f>
        <v>6712.3</v>
      </c>
      <c r="L59" s="105">
        <v>316</v>
      </c>
      <c r="M59" s="41">
        <v>5820590</v>
      </c>
      <c r="N59" s="41">
        <v>0</v>
      </c>
      <c r="O59" s="41">
        <v>0</v>
      </c>
      <c r="P59" s="41">
        <f t="shared" si="2"/>
        <v>5820590</v>
      </c>
      <c r="Q59" s="41">
        <v>0</v>
      </c>
      <c r="R59" s="41">
        <v>0</v>
      </c>
      <c r="S59" s="41">
        <f t="shared" si="3"/>
        <v>820.46008767602154</v>
      </c>
      <c r="T59" s="53">
        <v>7822</v>
      </c>
      <c r="U59" s="90" t="s">
        <v>69</v>
      </c>
    </row>
    <row r="60" spans="2:21" s="44" customFormat="1" x14ac:dyDescent="0.25">
      <c r="B60" s="89">
        <v>44</v>
      </c>
      <c r="C60" s="77" t="s">
        <v>142</v>
      </c>
      <c r="D60" s="55">
        <v>1985</v>
      </c>
      <c r="E60" s="55"/>
      <c r="F60" s="55" t="s">
        <v>24</v>
      </c>
      <c r="G60" s="55">
        <v>9</v>
      </c>
      <c r="H60" s="55">
        <v>5</v>
      </c>
      <c r="I60" s="41">
        <v>11000.9</v>
      </c>
      <c r="J60" s="41">
        <v>9855.4</v>
      </c>
      <c r="K60" s="41">
        <f>J60-264.7</f>
        <v>9590.6999999999989</v>
      </c>
      <c r="L60" s="105">
        <v>480</v>
      </c>
      <c r="M60" s="41">
        <v>9729120</v>
      </c>
      <c r="N60" s="41">
        <v>0</v>
      </c>
      <c r="O60" s="41">
        <v>0</v>
      </c>
      <c r="P60" s="41">
        <f t="shared" si="2"/>
        <v>9729120</v>
      </c>
      <c r="Q60" s="41">
        <v>0</v>
      </c>
      <c r="R60" s="41">
        <v>0</v>
      </c>
      <c r="S60" s="41">
        <f t="shared" si="3"/>
        <v>987.18671997077752</v>
      </c>
      <c r="T60" s="53">
        <v>7822</v>
      </c>
      <c r="U60" s="90" t="s">
        <v>69</v>
      </c>
    </row>
    <row r="61" spans="2:21" s="44" customFormat="1" x14ac:dyDescent="0.25">
      <c r="B61" s="89">
        <v>45</v>
      </c>
      <c r="C61" s="77" t="s">
        <v>119</v>
      </c>
      <c r="D61" s="55">
        <v>1950</v>
      </c>
      <c r="E61" s="55"/>
      <c r="F61" s="55" t="s">
        <v>25</v>
      </c>
      <c r="G61" s="55">
        <v>2</v>
      </c>
      <c r="H61" s="55">
        <v>3</v>
      </c>
      <c r="I61" s="41">
        <v>1313.5</v>
      </c>
      <c r="J61" s="41">
        <v>1198.2</v>
      </c>
      <c r="K61" s="41">
        <f>J61-28.1-213.1</f>
        <v>957.00000000000011</v>
      </c>
      <c r="L61" s="105">
        <v>53</v>
      </c>
      <c r="M61" s="41">
        <v>380826</v>
      </c>
      <c r="N61" s="41">
        <v>0</v>
      </c>
      <c r="O61" s="41">
        <v>0</v>
      </c>
      <c r="P61" s="41">
        <f t="shared" si="2"/>
        <v>380826</v>
      </c>
      <c r="Q61" s="41">
        <v>0</v>
      </c>
      <c r="R61" s="41">
        <v>0</v>
      </c>
      <c r="S61" s="41">
        <f t="shared" si="3"/>
        <v>317.83174762143216</v>
      </c>
      <c r="T61" s="53">
        <v>7822</v>
      </c>
      <c r="U61" s="90" t="s">
        <v>69</v>
      </c>
    </row>
    <row r="62" spans="2:21" s="44" customFormat="1" x14ac:dyDescent="0.25">
      <c r="B62" s="89">
        <v>46</v>
      </c>
      <c r="C62" s="77" t="s">
        <v>136</v>
      </c>
      <c r="D62" s="55">
        <v>1963</v>
      </c>
      <c r="E62" s="55"/>
      <c r="F62" s="55" t="s">
        <v>24</v>
      </c>
      <c r="G62" s="55">
        <v>4</v>
      </c>
      <c r="H62" s="55">
        <v>4</v>
      </c>
      <c r="I62" s="41">
        <v>3271.4</v>
      </c>
      <c r="J62" s="41">
        <v>2834.7</v>
      </c>
      <c r="K62" s="41">
        <f>J62-128.34</f>
        <v>2706.3599999999997</v>
      </c>
      <c r="L62" s="105">
        <v>136</v>
      </c>
      <c r="M62" s="41">
        <v>1767426</v>
      </c>
      <c r="N62" s="41">
        <v>0</v>
      </c>
      <c r="O62" s="41">
        <v>0</v>
      </c>
      <c r="P62" s="41">
        <f t="shared" si="2"/>
        <v>1767426</v>
      </c>
      <c r="Q62" s="41">
        <v>0</v>
      </c>
      <c r="R62" s="41">
        <v>0</v>
      </c>
      <c r="S62" s="41">
        <f t="shared" si="3"/>
        <v>623.49666631389573</v>
      </c>
      <c r="T62" s="53">
        <v>7822</v>
      </c>
      <c r="U62" s="90" t="s">
        <v>69</v>
      </c>
    </row>
    <row r="63" spans="2:21" s="44" customFormat="1" x14ac:dyDescent="0.25">
      <c r="B63" s="89">
        <v>47</v>
      </c>
      <c r="C63" s="77" t="s">
        <v>90</v>
      </c>
      <c r="D63" s="55">
        <v>1977</v>
      </c>
      <c r="E63" s="55"/>
      <c r="F63" s="55" t="s">
        <v>24</v>
      </c>
      <c r="G63" s="55">
        <v>9</v>
      </c>
      <c r="H63" s="55">
        <v>1</v>
      </c>
      <c r="I63" s="41">
        <v>2183.6</v>
      </c>
      <c r="J63" s="41">
        <v>1930.8</v>
      </c>
      <c r="K63" s="41">
        <f>J63-216.5</f>
        <v>1714.3</v>
      </c>
      <c r="L63" s="105">
        <v>83</v>
      </c>
      <c r="M63" s="41">
        <v>2777435</v>
      </c>
      <c r="N63" s="41">
        <v>0</v>
      </c>
      <c r="O63" s="41">
        <v>0</v>
      </c>
      <c r="P63" s="41">
        <f t="shared" si="2"/>
        <v>2777435</v>
      </c>
      <c r="Q63" s="41">
        <v>0</v>
      </c>
      <c r="R63" s="41">
        <v>0</v>
      </c>
      <c r="S63" s="41">
        <f t="shared" si="3"/>
        <v>1438.4892272633106</v>
      </c>
      <c r="T63" s="53">
        <v>7822</v>
      </c>
      <c r="U63" s="90" t="s">
        <v>69</v>
      </c>
    </row>
    <row r="64" spans="2:21" s="44" customFormat="1" x14ac:dyDescent="0.25">
      <c r="B64" s="91">
        <v>48</v>
      </c>
      <c r="C64" s="77" t="s">
        <v>91</v>
      </c>
      <c r="D64" s="55">
        <v>1978</v>
      </c>
      <c r="E64" s="55"/>
      <c r="F64" s="55" t="s">
        <v>24</v>
      </c>
      <c r="G64" s="55">
        <v>9</v>
      </c>
      <c r="H64" s="55">
        <v>4</v>
      </c>
      <c r="I64" s="41">
        <v>7904.7</v>
      </c>
      <c r="J64" s="41">
        <v>7844.3</v>
      </c>
      <c r="K64" s="41">
        <f>J64-456.8</f>
        <v>7387.5</v>
      </c>
      <c r="L64" s="105">
        <v>368</v>
      </c>
      <c r="M64" s="41">
        <v>10898084</v>
      </c>
      <c r="N64" s="41">
        <v>0</v>
      </c>
      <c r="O64" s="41">
        <v>0</v>
      </c>
      <c r="P64" s="41">
        <f t="shared" si="2"/>
        <v>10898084</v>
      </c>
      <c r="Q64" s="41">
        <v>0</v>
      </c>
      <c r="R64" s="41">
        <v>0</v>
      </c>
      <c r="S64" s="41">
        <f t="shared" si="3"/>
        <v>1389.2997463126092</v>
      </c>
      <c r="T64" s="53">
        <v>7822</v>
      </c>
      <c r="U64" s="90" t="s">
        <v>69</v>
      </c>
    </row>
    <row r="65" spans="2:21" s="44" customFormat="1" x14ac:dyDescent="0.25">
      <c r="B65" s="89">
        <v>49</v>
      </c>
      <c r="C65" s="77" t="s">
        <v>145</v>
      </c>
      <c r="D65" s="55">
        <v>1950</v>
      </c>
      <c r="E65" s="55"/>
      <c r="F65" s="55" t="s">
        <v>46</v>
      </c>
      <c r="G65" s="55">
        <v>2</v>
      </c>
      <c r="H65" s="55">
        <v>3</v>
      </c>
      <c r="I65" s="41">
        <v>1076</v>
      </c>
      <c r="J65" s="41">
        <v>1042.3</v>
      </c>
      <c r="K65" s="41">
        <f>J65-108.6</f>
        <v>933.69999999999993</v>
      </c>
      <c r="L65" s="105">
        <v>33</v>
      </c>
      <c r="M65" s="41">
        <v>454703</v>
      </c>
      <c r="N65" s="41">
        <v>0</v>
      </c>
      <c r="O65" s="41">
        <v>0</v>
      </c>
      <c r="P65" s="41">
        <f t="shared" si="2"/>
        <v>454703</v>
      </c>
      <c r="Q65" s="41">
        <v>0</v>
      </c>
      <c r="R65" s="41">
        <v>0</v>
      </c>
      <c r="S65" s="41">
        <f t="shared" si="3"/>
        <v>436.249640218747</v>
      </c>
      <c r="T65" s="53">
        <v>7822</v>
      </c>
      <c r="U65" s="90" t="s">
        <v>69</v>
      </c>
    </row>
    <row r="66" spans="2:21" s="44" customFormat="1" x14ac:dyDescent="0.25">
      <c r="B66" s="89">
        <v>50</v>
      </c>
      <c r="C66" s="77" t="s">
        <v>96</v>
      </c>
      <c r="D66" s="55">
        <v>1971</v>
      </c>
      <c r="E66" s="55"/>
      <c r="F66" s="55" t="s">
        <v>24</v>
      </c>
      <c r="G66" s="55">
        <v>5</v>
      </c>
      <c r="H66" s="55">
        <v>10</v>
      </c>
      <c r="I66" s="41">
        <v>7462</v>
      </c>
      <c r="J66" s="41">
        <v>6460.6</v>
      </c>
      <c r="K66" s="41">
        <f>J66-383.2</f>
        <v>6077.4000000000005</v>
      </c>
      <c r="L66" s="105">
        <v>359</v>
      </c>
      <c r="M66" s="41">
        <v>3313369</v>
      </c>
      <c r="N66" s="41">
        <v>0</v>
      </c>
      <c r="O66" s="41">
        <v>0</v>
      </c>
      <c r="P66" s="41">
        <f t="shared" si="2"/>
        <v>3313369</v>
      </c>
      <c r="Q66" s="41">
        <v>0</v>
      </c>
      <c r="R66" s="41">
        <v>0</v>
      </c>
      <c r="S66" s="41">
        <f t="shared" si="3"/>
        <v>512.85778410673925</v>
      </c>
      <c r="T66" s="53">
        <v>7822</v>
      </c>
      <c r="U66" s="90" t="s">
        <v>69</v>
      </c>
    </row>
    <row r="67" spans="2:21" x14ac:dyDescent="0.25">
      <c r="B67" s="89">
        <v>51</v>
      </c>
      <c r="C67" s="77" t="s">
        <v>63</v>
      </c>
      <c r="D67" s="55">
        <v>1969</v>
      </c>
      <c r="E67" s="55"/>
      <c r="F67" s="55" t="s">
        <v>24</v>
      </c>
      <c r="G67" s="55">
        <v>5</v>
      </c>
      <c r="H67" s="55">
        <v>6</v>
      </c>
      <c r="I67" s="41">
        <v>4431.2</v>
      </c>
      <c r="J67" s="41">
        <v>4226.5</v>
      </c>
      <c r="K67" s="41">
        <f>J67-10.4-369.2</f>
        <v>3846.9000000000005</v>
      </c>
      <c r="L67" s="105">
        <v>174</v>
      </c>
      <c r="M67" s="41">
        <v>2711950</v>
      </c>
      <c r="N67" s="41">
        <v>0</v>
      </c>
      <c r="O67" s="41">
        <v>0</v>
      </c>
      <c r="P67" s="41">
        <f t="shared" si="2"/>
        <v>2711950</v>
      </c>
      <c r="Q67" s="41">
        <v>0</v>
      </c>
      <c r="R67" s="41">
        <v>0</v>
      </c>
      <c r="S67" s="41">
        <f t="shared" si="3"/>
        <v>641.65385070389209</v>
      </c>
      <c r="T67" s="53">
        <v>7822</v>
      </c>
      <c r="U67" s="90" t="s">
        <v>69</v>
      </c>
    </row>
    <row r="68" spans="2:21" s="44" customFormat="1" x14ac:dyDescent="0.25">
      <c r="B68" s="89">
        <v>52</v>
      </c>
      <c r="C68" s="77" t="s">
        <v>64</v>
      </c>
      <c r="D68" s="55">
        <v>1961</v>
      </c>
      <c r="E68" s="55"/>
      <c r="F68" s="55" t="s">
        <v>25</v>
      </c>
      <c r="G68" s="55">
        <v>5</v>
      </c>
      <c r="H68" s="55">
        <v>4</v>
      </c>
      <c r="I68" s="41">
        <v>3497.7</v>
      </c>
      <c r="J68" s="41">
        <v>3191.1</v>
      </c>
      <c r="K68" s="41">
        <f>J68-97.7-147.9</f>
        <v>2945.5</v>
      </c>
      <c r="L68" s="105">
        <v>118</v>
      </c>
      <c r="M68" s="41">
        <v>1023727</v>
      </c>
      <c r="N68" s="41">
        <v>0</v>
      </c>
      <c r="O68" s="41">
        <v>0</v>
      </c>
      <c r="P68" s="41">
        <f t="shared" si="2"/>
        <v>1023727</v>
      </c>
      <c r="Q68" s="41">
        <v>0</v>
      </c>
      <c r="R68" s="41">
        <v>0</v>
      </c>
      <c r="S68" s="41">
        <f t="shared" si="3"/>
        <v>320.80693177901037</v>
      </c>
      <c r="T68" s="53">
        <v>7822</v>
      </c>
      <c r="U68" s="90" t="s">
        <v>69</v>
      </c>
    </row>
    <row r="69" spans="2:21" s="44" customFormat="1" x14ac:dyDescent="0.25">
      <c r="B69" s="91">
        <v>53</v>
      </c>
      <c r="C69" s="77" t="s">
        <v>115</v>
      </c>
      <c r="D69" s="55" t="s">
        <v>45</v>
      </c>
      <c r="E69" s="55"/>
      <c r="F69" s="55" t="s">
        <v>25</v>
      </c>
      <c r="G69" s="55">
        <v>3</v>
      </c>
      <c r="H69" s="55">
        <v>2</v>
      </c>
      <c r="I69" s="41">
        <v>781.9</v>
      </c>
      <c r="J69" s="41">
        <v>709.4</v>
      </c>
      <c r="K69" s="41">
        <f>J69-342.9-43.4</f>
        <v>323.10000000000002</v>
      </c>
      <c r="L69" s="105">
        <v>42</v>
      </c>
      <c r="M69" s="41">
        <v>3635931</v>
      </c>
      <c r="N69" s="41">
        <v>0</v>
      </c>
      <c r="O69" s="41">
        <v>0</v>
      </c>
      <c r="P69" s="41">
        <f t="shared" si="2"/>
        <v>3635931</v>
      </c>
      <c r="Q69" s="41">
        <v>0</v>
      </c>
      <c r="R69" s="41">
        <v>0</v>
      </c>
      <c r="S69" s="41">
        <f t="shared" si="3"/>
        <v>5125.3608683394423</v>
      </c>
      <c r="T69" s="53">
        <v>7822</v>
      </c>
      <c r="U69" s="90" t="s">
        <v>69</v>
      </c>
    </row>
    <row r="70" spans="2:21" s="44" customFormat="1" x14ac:dyDescent="0.25">
      <c r="B70" s="89">
        <v>54</v>
      </c>
      <c r="C70" s="77" t="s">
        <v>42</v>
      </c>
      <c r="D70" s="55">
        <v>1949</v>
      </c>
      <c r="E70" s="55"/>
      <c r="F70" s="55" t="s">
        <v>25</v>
      </c>
      <c r="G70" s="55">
        <v>2</v>
      </c>
      <c r="H70" s="55">
        <v>2</v>
      </c>
      <c r="I70" s="41">
        <v>782.2</v>
      </c>
      <c r="J70" s="41">
        <v>704.6</v>
      </c>
      <c r="K70" s="41">
        <f>J70-103.4</f>
        <v>601.20000000000005</v>
      </c>
      <c r="L70" s="105">
        <v>39</v>
      </c>
      <c r="M70" s="41">
        <v>474537</v>
      </c>
      <c r="N70" s="41">
        <v>0</v>
      </c>
      <c r="O70" s="41">
        <v>0</v>
      </c>
      <c r="P70" s="41">
        <f t="shared" si="2"/>
        <v>474537</v>
      </c>
      <c r="Q70" s="41">
        <v>0</v>
      </c>
      <c r="R70" s="41">
        <v>0</v>
      </c>
      <c r="S70" s="41">
        <f t="shared" si="3"/>
        <v>673.48424638092536</v>
      </c>
      <c r="T70" s="53">
        <v>7822</v>
      </c>
      <c r="U70" s="90" t="s">
        <v>69</v>
      </c>
    </row>
    <row r="71" spans="2:21" s="44" customFormat="1" x14ac:dyDescent="0.25">
      <c r="B71" s="89">
        <v>55</v>
      </c>
      <c r="C71" s="77" t="s">
        <v>75</v>
      </c>
      <c r="D71" s="55">
        <v>1950</v>
      </c>
      <c r="E71" s="55"/>
      <c r="F71" s="55" t="s">
        <v>46</v>
      </c>
      <c r="G71" s="55">
        <v>2</v>
      </c>
      <c r="H71" s="55">
        <v>2</v>
      </c>
      <c r="I71" s="41">
        <v>777.7</v>
      </c>
      <c r="J71" s="41">
        <v>701.7</v>
      </c>
      <c r="K71" s="41">
        <f>J71-35.5</f>
        <v>666.2</v>
      </c>
      <c r="L71" s="105">
        <v>42</v>
      </c>
      <c r="M71" s="41">
        <v>472639</v>
      </c>
      <c r="N71" s="41">
        <v>0</v>
      </c>
      <c r="O71" s="41">
        <v>0</v>
      </c>
      <c r="P71" s="41">
        <f t="shared" si="2"/>
        <v>472639</v>
      </c>
      <c r="Q71" s="41">
        <v>0</v>
      </c>
      <c r="R71" s="41">
        <v>0</v>
      </c>
      <c r="S71" s="41">
        <f t="shared" si="3"/>
        <v>673.56277611514884</v>
      </c>
      <c r="T71" s="53">
        <v>7822</v>
      </c>
      <c r="U71" s="90" t="s">
        <v>69</v>
      </c>
    </row>
    <row r="72" spans="2:21" s="44" customFormat="1" x14ac:dyDescent="0.25">
      <c r="B72" s="89">
        <v>56</v>
      </c>
      <c r="C72" s="77" t="s">
        <v>120</v>
      </c>
      <c r="D72" s="55">
        <v>1974</v>
      </c>
      <c r="E72" s="55"/>
      <c r="F72" s="55" t="s">
        <v>24</v>
      </c>
      <c r="G72" s="55">
        <v>12</v>
      </c>
      <c r="H72" s="55">
        <v>1</v>
      </c>
      <c r="I72" s="41">
        <v>3852.45</v>
      </c>
      <c r="J72" s="41">
        <v>3632.2</v>
      </c>
      <c r="K72" s="41">
        <f>J72-234.8-47.4</f>
        <v>3349.9999999999995</v>
      </c>
      <c r="L72" s="105">
        <v>162</v>
      </c>
      <c r="M72" s="41">
        <v>2650601</v>
      </c>
      <c r="N72" s="41">
        <v>0</v>
      </c>
      <c r="O72" s="41">
        <v>0</v>
      </c>
      <c r="P72" s="41">
        <f t="shared" si="2"/>
        <v>2650601</v>
      </c>
      <c r="Q72" s="41">
        <v>0</v>
      </c>
      <c r="R72" s="41">
        <v>0</v>
      </c>
      <c r="S72" s="41">
        <f t="shared" si="3"/>
        <v>729.75083971146967</v>
      </c>
      <c r="T72" s="53">
        <v>7822</v>
      </c>
      <c r="U72" s="90" t="s">
        <v>69</v>
      </c>
    </row>
    <row r="73" spans="2:21" s="44" customFormat="1" x14ac:dyDescent="0.25">
      <c r="B73" s="89">
        <v>57</v>
      </c>
      <c r="C73" s="77" t="s">
        <v>77</v>
      </c>
      <c r="D73" s="55">
        <v>1959</v>
      </c>
      <c r="E73" s="55"/>
      <c r="F73" s="55" t="s">
        <v>47</v>
      </c>
      <c r="G73" s="55">
        <v>3</v>
      </c>
      <c r="H73" s="55">
        <v>2</v>
      </c>
      <c r="I73" s="41">
        <v>831.9</v>
      </c>
      <c r="J73" s="41">
        <v>755.8</v>
      </c>
      <c r="K73" s="41">
        <f>J73-54</f>
        <v>701.8</v>
      </c>
      <c r="L73" s="105">
        <v>49</v>
      </c>
      <c r="M73" s="41">
        <v>1580192</v>
      </c>
      <c r="N73" s="41">
        <v>0</v>
      </c>
      <c r="O73" s="41">
        <v>0</v>
      </c>
      <c r="P73" s="41">
        <f t="shared" si="2"/>
        <v>1580192</v>
      </c>
      <c r="Q73" s="41">
        <v>0</v>
      </c>
      <c r="R73" s="41">
        <v>0</v>
      </c>
      <c r="S73" s="41">
        <f t="shared" si="3"/>
        <v>2090.7541677692511</v>
      </c>
      <c r="T73" s="53">
        <v>7822</v>
      </c>
      <c r="U73" s="90" t="s">
        <v>69</v>
      </c>
    </row>
    <row r="74" spans="2:21" x14ac:dyDescent="0.25">
      <c r="B74" s="91">
        <v>58</v>
      </c>
      <c r="C74" s="77" t="s">
        <v>94</v>
      </c>
      <c r="D74" s="55">
        <v>1981</v>
      </c>
      <c r="E74" s="55"/>
      <c r="F74" s="55" t="s">
        <v>24</v>
      </c>
      <c r="G74" s="55">
        <v>9</v>
      </c>
      <c r="H74" s="55">
        <v>2</v>
      </c>
      <c r="I74" s="41">
        <v>3891.9</v>
      </c>
      <c r="J74" s="41">
        <v>3874.5</v>
      </c>
      <c r="K74" s="41">
        <f>J74-318.2</f>
        <v>3556.3</v>
      </c>
      <c r="L74" s="105">
        <v>175</v>
      </c>
      <c r="M74" s="41">
        <v>3866026</v>
      </c>
      <c r="N74" s="41">
        <v>0</v>
      </c>
      <c r="O74" s="41">
        <v>0</v>
      </c>
      <c r="P74" s="41">
        <f t="shared" si="2"/>
        <v>3866026</v>
      </c>
      <c r="Q74" s="41">
        <v>0</v>
      </c>
      <c r="R74" s="41">
        <v>0</v>
      </c>
      <c r="S74" s="41">
        <f t="shared" si="3"/>
        <v>997.81287908117179</v>
      </c>
      <c r="T74" s="53">
        <v>7822</v>
      </c>
      <c r="U74" s="90" t="s">
        <v>69</v>
      </c>
    </row>
    <row r="75" spans="2:21" s="44" customFormat="1" x14ac:dyDescent="0.25">
      <c r="B75" s="89">
        <v>59</v>
      </c>
      <c r="C75" s="77" t="s">
        <v>131</v>
      </c>
      <c r="D75" s="55">
        <v>1970</v>
      </c>
      <c r="E75" s="55"/>
      <c r="F75" s="55" t="s">
        <v>24</v>
      </c>
      <c r="G75" s="55">
        <v>5</v>
      </c>
      <c r="H75" s="55">
        <v>8</v>
      </c>
      <c r="I75" s="41">
        <v>6282.2</v>
      </c>
      <c r="J75" s="41">
        <v>5721.3</v>
      </c>
      <c r="K75" s="41">
        <f>J75-425.8-134.6</f>
        <v>5160.8999999999996</v>
      </c>
      <c r="L75" s="105">
        <v>301</v>
      </c>
      <c r="M75" s="41">
        <v>4922798</v>
      </c>
      <c r="N75" s="41">
        <v>0</v>
      </c>
      <c r="O75" s="41">
        <v>0</v>
      </c>
      <c r="P75" s="41">
        <f t="shared" si="2"/>
        <v>4922798</v>
      </c>
      <c r="Q75" s="41">
        <v>0</v>
      </c>
      <c r="R75" s="41">
        <v>0</v>
      </c>
      <c r="S75" s="41">
        <f t="shared" si="3"/>
        <v>860.43346791813042</v>
      </c>
      <c r="T75" s="53">
        <v>7822</v>
      </c>
      <c r="U75" s="90" t="s">
        <v>69</v>
      </c>
    </row>
    <row r="76" spans="2:21" s="44" customFormat="1" x14ac:dyDescent="0.25">
      <c r="B76" s="89">
        <v>60</v>
      </c>
      <c r="C76" s="77" t="s">
        <v>43</v>
      </c>
      <c r="D76" s="55">
        <v>1986</v>
      </c>
      <c r="E76" s="55"/>
      <c r="F76" s="55" t="s">
        <v>25</v>
      </c>
      <c r="G76" s="55">
        <v>9</v>
      </c>
      <c r="H76" s="55">
        <v>1</v>
      </c>
      <c r="I76" s="41">
        <v>3205.38</v>
      </c>
      <c r="J76" s="41">
        <v>3191.6</v>
      </c>
      <c r="K76" s="41">
        <f>J76-87.7</f>
        <v>3103.9</v>
      </c>
      <c r="L76" s="105">
        <v>163</v>
      </c>
      <c r="M76" s="41">
        <v>1936573</v>
      </c>
      <c r="N76" s="41">
        <v>0</v>
      </c>
      <c r="O76" s="41">
        <v>0</v>
      </c>
      <c r="P76" s="41">
        <f t="shared" si="2"/>
        <v>1936573</v>
      </c>
      <c r="Q76" s="41">
        <v>0</v>
      </c>
      <c r="R76" s="41">
        <v>0</v>
      </c>
      <c r="S76" s="41">
        <f t="shared" si="3"/>
        <v>606.77183857626267</v>
      </c>
      <c r="T76" s="53">
        <v>7822</v>
      </c>
      <c r="U76" s="90" t="s">
        <v>69</v>
      </c>
    </row>
    <row r="77" spans="2:21" s="44" customFormat="1" x14ac:dyDescent="0.25">
      <c r="B77" s="89">
        <v>61</v>
      </c>
      <c r="C77" s="77" t="s">
        <v>143</v>
      </c>
      <c r="D77" s="55">
        <v>1990</v>
      </c>
      <c r="E77" s="55"/>
      <c r="F77" s="55" t="s">
        <v>25</v>
      </c>
      <c r="G77" s="55">
        <v>9</v>
      </c>
      <c r="H77" s="55">
        <v>1</v>
      </c>
      <c r="I77" s="41">
        <v>3441.1</v>
      </c>
      <c r="J77" s="41">
        <v>3246.3</v>
      </c>
      <c r="K77" s="41">
        <f>J77-472.8</f>
        <v>2773.5</v>
      </c>
      <c r="L77" s="105">
        <v>167</v>
      </c>
      <c r="M77" s="41">
        <v>1941891</v>
      </c>
      <c r="N77" s="41">
        <v>0</v>
      </c>
      <c r="O77" s="41">
        <v>0</v>
      </c>
      <c r="P77" s="41">
        <f t="shared" si="2"/>
        <v>1941891</v>
      </c>
      <c r="Q77" s="41">
        <v>0</v>
      </c>
      <c r="R77" s="41">
        <v>0</v>
      </c>
      <c r="S77" s="41">
        <f t="shared" si="3"/>
        <v>598.18593475649197</v>
      </c>
      <c r="T77" s="53">
        <v>7822</v>
      </c>
      <c r="U77" s="90" t="s">
        <v>69</v>
      </c>
    </row>
    <row r="78" spans="2:21" s="44" customFormat="1" x14ac:dyDescent="0.25">
      <c r="B78" s="89">
        <v>62</v>
      </c>
      <c r="C78" s="77" t="s">
        <v>73</v>
      </c>
      <c r="D78" s="55">
        <v>1962</v>
      </c>
      <c r="E78" s="55"/>
      <c r="F78" s="55" t="s">
        <v>25</v>
      </c>
      <c r="G78" s="55">
        <v>4</v>
      </c>
      <c r="H78" s="55">
        <v>2</v>
      </c>
      <c r="I78" s="41">
        <v>1289</v>
      </c>
      <c r="J78" s="41">
        <v>1263.0999999999999</v>
      </c>
      <c r="K78" s="41">
        <f>J78-56-31.8</f>
        <v>1175.3</v>
      </c>
      <c r="L78" s="105">
        <v>67</v>
      </c>
      <c r="M78" s="41">
        <v>593036</v>
      </c>
      <c r="N78" s="41">
        <v>0</v>
      </c>
      <c r="O78" s="41">
        <v>0</v>
      </c>
      <c r="P78" s="41">
        <f t="shared" si="2"/>
        <v>593036</v>
      </c>
      <c r="Q78" s="41">
        <v>0</v>
      </c>
      <c r="R78" s="41">
        <v>0</v>
      </c>
      <c r="S78" s="41">
        <f t="shared" si="3"/>
        <v>469.50835246615475</v>
      </c>
      <c r="T78" s="53">
        <v>7822</v>
      </c>
      <c r="U78" s="90" t="s">
        <v>69</v>
      </c>
    </row>
    <row r="79" spans="2:21" s="44" customFormat="1" x14ac:dyDescent="0.25">
      <c r="B79" s="91">
        <v>63</v>
      </c>
      <c r="C79" s="77" t="s">
        <v>104</v>
      </c>
      <c r="D79" s="55">
        <v>1926</v>
      </c>
      <c r="E79" s="55"/>
      <c r="F79" s="55" t="s">
        <v>48</v>
      </c>
      <c r="G79" s="55">
        <v>2</v>
      </c>
      <c r="H79" s="55">
        <v>2</v>
      </c>
      <c r="I79" s="41">
        <v>548.4</v>
      </c>
      <c r="J79" s="41">
        <v>422.7</v>
      </c>
      <c r="K79" s="41">
        <f>J79-137.47</f>
        <v>285.23</v>
      </c>
      <c r="L79" s="105">
        <v>24</v>
      </c>
      <c r="M79" s="41">
        <v>1238157</v>
      </c>
      <c r="N79" s="41">
        <v>0</v>
      </c>
      <c r="O79" s="41">
        <v>0</v>
      </c>
      <c r="P79" s="41">
        <f t="shared" si="2"/>
        <v>1238157</v>
      </c>
      <c r="Q79" s="41">
        <v>0</v>
      </c>
      <c r="R79" s="41">
        <v>0</v>
      </c>
      <c r="S79" s="41">
        <f t="shared" si="3"/>
        <v>2929.1625266146202</v>
      </c>
      <c r="T79" s="53">
        <v>7822</v>
      </c>
      <c r="U79" s="90" t="s">
        <v>69</v>
      </c>
    </row>
    <row r="80" spans="2:21" x14ac:dyDescent="0.25">
      <c r="B80" s="89">
        <v>64</v>
      </c>
      <c r="C80" s="77" t="s">
        <v>89</v>
      </c>
      <c r="D80" s="55">
        <v>1960</v>
      </c>
      <c r="E80" s="55"/>
      <c r="F80" s="55" t="s">
        <v>46</v>
      </c>
      <c r="G80" s="55">
        <v>3</v>
      </c>
      <c r="H80" s="55">
        <v>2</v>
      </c>
      <c r="I80" s="41">
        <v>832.1</v>
      </c>
      <c r="J80" s="41">
        <v>754.9</v>
      </c>
      <c r="K80" s="41">
        <v>754.9</v>
      </c>
      <c r="L80" s="105">
        <v>33</v>
      </c>
      <c r="M80" s="41">
        <v>1220739</v>
      </c>
      <c r="N80" s="41">
        <v>0</v>
      </c>
      <c r="O80" s="41">
        <v>0</v>
      </c>
      <c r="P80" s="41">
        <f t="shared" si="2"/>
        <v>1220739</v>
      </c>
      <c r="Q80" s="41">
        <v>0</v>
      </c>
      <c r="R80" s="41">
        <v>0</v>
      </c>
      <c r="S80" s="41">
        <f t="shared" ref="S80:S125" si="4">M80/J80</f>
        <v>1617.0870313948867</v>
      </c>
      <c r="T80" s="53">
        <v>7822</v>
      </c>
      <c r="U80" s="90" t="s">
        <v>69</v>
      </c>
    </row>
    <row r="81" spans="2:21" s="44" customFormat="1" x14ac:dyDescent="0.25">
      <c r="B81" s="89">
        <v>65</v>
      </c>
      <c r="C81" s="77" t="s">
        <v>65</v>
      </c>
      <c r="D81" s="55">
        <v>1984</v>
      </c>
      <c r="E81" s="55"/>
      <c r="F81" s="55" t="s">
        <v>24</v>
      </c>
      <c r="G81" s="55">
        <v>9</v>
      </c>
      <c r="H81" s="55">
        <v>4</v>
      </c>
      <c r="I81" s="41">
        <v>9066.6</v>
      </c>
      <c r="J81" s="41">
        <v>8150.7</v>
      </c>
      <c r="K81" s="41">
        <f>J81-133.6</f>
        <v>8017.0999999999995</v>
      </c>
      <c r="L81" s="105">
        <v>362</v>
      </c>
      <c r="M81" s="41">
        <v>7766468</v>
      </c>
      <c r="N81" s="41">
        <v>0</v>
      </c>
      <c r="O81" s="41">
        <v>0</v>
      </c>
      <c r="P81" s="41">
        <f t="shared" ref="P81:P125" si="5">M81</f>
        <v>7766468</v>
      </c>
      <c r="Q81" s="41">
        <v>0</v>
      </c>
      <c r="R81" s="41">
        <v>0</v>
      </c>
      <c r="S81" s="41">
        <f t="shared" si="4"/>
        <v>952.85901824383188</v>
      </c>
      <c r="T81" s="53">
        <v>7822</v>
      </c>
      <c r="U81" s="90" t="s">
        <v>69</v>
      </c>
    </row>
    <row r="82" spans="2:21" s="44" customFormat="1" x14ac:dyDescent="0.25">
      <c r="B82" s="89">
        <v>66</v>
      </c>
      <c r="C82" s="77" t="s">
        <v>66</v>
      </c>
      <c r="D82" s="55">
        <v>1859</v>
      </c>
      <c r="E82" s="55"/>
      <c r="F82" s="55" t="s">
        <v>25</v>
      </c>
      <c r="G82" s="81" t="s">
        <v>137</v>
      </c>
      <c r="H82" s="55">
        <v>2</v>
      </c>
      <c r="I82" s="41">
        <v>2564.6999999999998</v>
      </c>
      <c r="J82" s="41">
        <v>2420.6</v>
      </c>
      <c r="K82" s="41">
        <f>J82-52.5-702.7</f>
        <v>1665.3999999999999</v>
      </c>
      <c r="L82" s="105">
        <v>47</v>
      </c>
      <c r="M82" s="41">
        <v>1162151</v>
      </c>
      <c r="N82" s="41">
        <v>0</v>
      </c>
      <c r="O82" s="41">
        <v>0</v>
      </c>
      <c r="P82" s="41">
        <f t="shared" si="5"/>
        <v>1162151</v>
      </c>
      <c r="Q82" s="41">
        <v>0</v>
      </c>
      <c r="R82" s="41">
        <v>0</v>
      </c>
      <c r="S82" s="41">
        <f t="shared" si="4"/>
        <v>480.10865074774853</v>
      </c>
      <c r="T82" s="53">
        <v>7822</v>
      </c>
      <c r="U82" s="90" t="s">
        <v>69</v>
      </c>
    </row>
    <row r="83" spans="2:21" s="44" customFormat="1" x14ac:dyDescent="0.25">
      <c r="B83" s="89">
        <v>67</v>
      </c>
      <c r="C83" s="77" t="s">
        <v>67</v>
      </c>
      <c r="D83" s="55">
        <v>1980</v>
      </c>
      <c r="E83" s="55"/>
      <c r="F83" s="55" t="s">
        <v>24</v>
      </c>
      <c r="G83" s="55">
        <v>9</v>
      </c>
      <c r="H83" s="55">
        <v>2</v>
      </c>
      <c r="I83" s="41">
        <v>4389.8999999999996</v>
      </c>
      <c r="J83" s="41">
        <v>3906.1</v>
      </c>
      <c r="K83" s="41">
        <f>J83-67.8</f>
        <v>3838.2999999999997</v>
      </c>
      <c r="L83" s="105">
        <v>132</v>
      </c>
      <c r="M83" s="41">
        <v>3866258</v>
      </c>
      <c r="N83" s="41">
        <v>0</v>
      </c>
      <c r="O83" s="41">
        <v>0</v>
      </c>
      <c r="P83" s="41">
        <f t="shared" si="5"/>
        <v>3866258</v>
      </c>
      <c r="Q83" s="41">
        <v>0</v>
      </c>
      <c r="R83" s="41">
        <v>0</v>
      </c>
      <c r="S83" s="41">
        <f t="shared" si="4"/>
        <v>989.80005632216285</v>
      </c>
      <c r="T83" s="53">
        <v>7822</v>
      </c>
      <c r="U83" s="90" t="s">
        <v>69</v>
      </c>
    </row>
    <row r="84" spans="2:21" s="44" customFormat="1" x14ac:dyDescent="0.25">
      <c r="B84" s="91">
        <v>68</v>
      </c>
      <c r="C84" s="77" t="s">
        <v>121</v>
      </c>
      <c r="D84" s="55">
        <v>1959</v>
      </c>
      <c r="E84" s="55"/>
      <c r="F84" s="55" t="s">
        <v>25</v>
      </c>
      <c r="G84" s="55">
        <v>4</v>
      </c>
      <c r="H84" s="55">
        <v>2</v>
      </c>
      <c r="I84" s="41">
        <v>1402.5</v>
      </c>
      <c r="J84" s="41">
        <v>1322.7</v>
      </c>
      <c r="K84" s="41">
        <f>J84-63.3-259.4</f>
        <v>1000.0000000000001</v>
      </c>
      <c r="L84" s="105">
        <v>47</v>
      </c>
      <c r="M84" s="41">
        <v>1746684</v>
      </c>
      <c r="N84" s="41">
        <v>0</v>
      </c>
      <c r="O84" s="41">
        <v>0</v>
      </c>
      <c r="P84" s="41">
        <f t="shared" si="5"/>
        <v>1746684</v>
      </c>
      <c r="Q84" s="41">
        <v>0</v>
      </c>
      <c r="R84" s="41">
        <v>0</v>
      </c>
      <c r="S84" s="41">
        <f t="shared" si="4"/>
        <v>1320.5443411204353</v>
      </c>
      <c r="T84" s="53">
        <v>7822</v>
      </c>
      <c r="U84" s="90" t="s">
        <v>69</v>
      </c>
    </row>
    <row r="85" spans="2:21" s="44" customFormat="1" x14ac:dyDescent="0.25">
      <c r="B85" s="89">
        <v>69</v>
      </c>
      <c r="C85" s="77" t="s">
        <v>129</v>
      </c>
      <c r="D85" s="55">
        <v>1964</v>
      </c>
      <c r="E85" s="55"/>
      <c r="F85" s="55" t="s">
        <v>25</v>
      </c>
      <c r="G85" s="55">
        <v>4</v>
      </c>
      <c r="H85" s="55">
        <v>3</v>
      </c>
      <c r="I85" s="41">
        <v>2167.5</v>
      </c>
      <c r="J85" s="41">
        <v>2011.2</v>
      </c>
      <c r="K85" s="41">
        <f>J85-43.3-90.4</f>
        <v>1877.5</v>
      </c>
      <c r="L85" s="105">
        <v>140</v>
      </c>
      <c r="M85" s="41">
        <v>1715952</v>
      </c>
      <c r="N85" s="41">
        <v>0</v>
      </c>
      <c r="O85" s="41">
        <v>0</v>
      </c>
      <c r="P85" s="41">
        <f t="shared" si="5"/>
        <v>1715952</v>
      </c>
      <c r="Q85" s="41">
        <v>0</v>
      </c>
      <c r="R85" s="41">
        <v>0</v>
      </c>
      <c r="S85" s="41">
        <f t="shared" si="4"/>
        <v>853.19809069212408</v>
      </c>
      <c r="T85" s="53">
        <v>7822</v>
      </c>
      <c r="U85" s="90" t="s">
        <v>69</v>
      </c>
    </row>
    <row r="86" spans="2:21" s="44" customFormat="1" x14ac:dyDescent="0.25">
      <c r="B86" s="89">
        <v>70</v>
      </c>
      <c r="C86" s="77" t="s">
        <v>79</v>
      </c>
      <c r="D86" s="55">
        <v>1979</v>
      </c>
      <c r="E86" s="55"/>
      <c r="F86" s="55" t="s">
        <v>24</v>
      </c>
      <c r="G86" s="55">
        <v>9</v>
      </c>
      <c r="H86" s="55">
        <v>2</v>
      </c>
      <c r="I86" s="41">
        <v>3920.5</v>
      </c>
      <c r="J86" s="41">
        <v>3834.1</v>
      </c>
      <c r="K86" s="41">
        <f>J86-435.7</f>
        <v>3398.4</v>
      </c>
      <c r="L86" s="105">
        <v>177</v>
      </c>
      <c r="M86" s="41">
        <v>3866218</v>
      </c>
      <c r="N86" s="41">
        <v>0</v>
      </c>
      <c r="O86" s="41">
        <v>0</v>
      </c>
      <c r="P86" s="41">
        <f t="shared" si="5"/>
        <v>3866218</v>
      </c>
      <c r="Q86" s="41">
        <v>0</v>
      </c>
      <c r="R86" s="41">
        <v>0</v>
      </c>
      <c r="S86" s="41">
        <f t="shared" si="4"/>
        <v>1008.3769333089904</v>
      </c>
      <c r="T86" s="53">
        <v>7822</v>
      </c>
      <c r="U86" s="90" t="s">
        <v>69</v>
      </c>
    </row>
    <row r="87" spans="2:21" s="44" customFormat="1" x14ac:dyDescent="0.25">
      <c r="B87" s="89">
        <v>71</v>
      </c>
      <c r="C87" s="77" t="s">
        <v>147</v>
      </c>
      <c r="D87" s="55">
        <v>1978</v>
      </c>
      <c r="E87" s="55"/>
      <c r="F87" s="55" t="s">
        <v>24</v>
      </c>
      <c r="G87" s="55">
        <v>9</v>
      </c>
      <c r="H87" s="55">
        <v>7</v>
      </c>
      <c r="I87" s="41">
        <v>15029.2</v>
      </c>
      <c r="J87" s="41">
        <v>13432.6</v>
      </c>
      <c r="K87" s="41">
        <f>J87-1136.6</f>
        <v>12296</v>
      </c>
      <c r="L87" s="105">
        <v>633</v>
      </c>
      <c r="M87" s="41">
        <v>13692057</v>
      </c>
      <c r="N87" s="41">
        <v>0</v>
      </c>
      <c r="O87" s="41">
        <v>0</v>
      </c>
      <c r="P87" s="41">
        <f t="shared" si="5"/>
        <v>13692057</v>
      </c>
      <c r="Q87" s="41">
        <v>0</v>
      </c>
      <c r="R87" s="41">
        <v>0</v>
      </c>
      <c r="S87" s="41">
        <f t="shared" si="4"/>
        <v>1019.3154713160519</v>
      </c>
      <c r="T87" s="53">
        <v>7822</v>
      </c>
      <c r="U87" s="90" t="s">
        <v>69</v>
      </c>
    </row>
    <row r="88" spans="2:21" s="44" customFormat="1" x14ac:dyDescent="0.25">
      <c r="B88" s="89">
        <v>72</v>
      </c>
      <c r="C88" s="77" t="s">
        <v>112</v>
      </c>
      <c r="D88" s="55">
        <v>1980</v>
      </c>
      <c r="E88" s="55"/>
      <c r="F88" s="55" t="s">
        <v>24</v>
      </c>
      <c r="G88" s="55">
        <v>9</v>
      </c>
      <c r="H88" s="55">
        <v>1</v>
      </c>
      <c r="I88" s="41">
        <v>2184.9</v>
      </c>
      <c r="J88" s="41">
        <v>1942.7</v>
      </c>
      <c r="K88" s="41">
        <f>J88-133.6</f>
        <v>1809.1000000000001</v>
      </c>
      <c r="L88" s="105">
        <v>86</v>
      </c>
      <c r="M88" s="41">
        <v>1936768</v>
      </c>
      <c r="N88" s="41">
        <v>0</v>
      </c>
      <c r="O88" s="41">
        <v>0</v>
      </c>
      <c r="P88" s="41">
        <f t="shared" si="5"/>
        <v>1936768</v>
      </c>
      <c r="Q88" s="41">
        <v>0</v>
      </c>
      <c r="R88" s="41">
        <v>0</v>
      </c>
      <c r="S88" s="41">
        <f t="shared" si="4"/>
        <v>996.94651773305191</v>
      </c>
      <c r="T88" s="53">
        <v>7822</v>
      </c>
      <c r="U88" s="90" t="s">
        <v>69</v>
      </c>
    </row>
    <row r="89" spans="2:21" s="44" customFormat="1" x14ac:dyDescent="0.25">
      <c r="B89" s="91">
        <v>73</v>
      </c>
      <c r="C89" s="77" t="s">
        <v>113</v>
      </c>
      <c r="D89" s="55">
        <v>1980</v>
      </c>
      <c r="E89" s="55"/>
      <c r="F89" s="55" t="s">
        <v>24</v>
      </c>
      <c r="G89" s="55">
        <v>9</v>
      </c>
      <c r="H89" s="55">
        <v>8</v>
      </c>
      <c r="I89" s="41">
        <v>18292.5</v>
      </c>
      <c r="J89" s="41">
        <v>16314.7</v>
      </c>
      <c r="K89" s="41">
        <f>J89-942.5</f>
        <v>15372.2</v>
      </c>
      <c r="L89" s="105">
        <v>778</v>
      </c>
      <c r="M89" s="41">
        <v>15721230</v>
      </c>
      <c r="N89" s="41">
        <v>0</v>
      </c>
      <c r="O89" s="41">
        <v>0</v>
      </c>
      <c r="P89" s="41">
        <f t="shared" si="5"/>
        <v>15721230</v>
      </c>
      <c r="Q89" s="41">
        <v>0</v>
      </c>
      <c r="R89" s="41">
        <v>0</v>
      </c>
      <c r="S89" s="41">
        <f t="shared" si="4"/>
        <v>963.62360325350755</v>
      </c>
      <c r="T89" s="53">
        <v>7822</v>
      </c>
      <c r="U89" s="90" t="s">
        <v>69</v>
      </c>
    </row>
    <row r="90" spans="2:21" s="44" customFormat="1" x14ac:dyDescent="0.25">
      <c r="B90" s="89">
        <v>74</v>
      </c>
      <c r="C90" s="77" t="s">
        <v>138</v>
      </c>
      <c r="D90" s="55">
        <v>1987</v>
      </c>
      <c r="E90" s="55"/>
      <c r="F90" s="55" t="s">
        <v>24</v>
      </c>
      <c r="G90" s="55">
        <v>9</v>
      </c>
      <c r="H90" s="55">
        <v>3</v>
      </c>
      <c r="I90" s="41">
        <v>6845.1</v>
      </c>
      <c r="J90" s="41">
        <v>6453.6</v>
      </c>
      <c r="K90" s="41">
        <f>J90-249.7-618.9</f>
        <v>5585.0000000000009</v>
      </c>
      <c r="L90" s="105">
        <v>282</v>
      </c>
      <c r="M90" s="41">
        <v>7718901</v>
      </c>
      <c r="N90" s="41">
        <v>0</v>
      </c>
      <c r="O90" s="41">
        <v>0</v>
      </c>
      <c r="P90" s="41">
        <f t="shared" si="5"/>
        <v>7718901</v>
      </c>
      <c r="Q90" s="41">
        <v>0</v>
      </c>
      <c r="R90" s="41">
        <v>0</v>
      </c>
      <c r="S90" s="41">
        <f t="shared" si="4"/>
        <v>1196.061268129416</v>
      </c>
      <c r="T90" s="53">
        <v>7822</v>
      </c>
      <c r="U90" s="90" t="s">
        <v>69</v>
      </c>
    </row>
    <row r="91" spans="2:21" s="44" customFormat="1" x14ac:dyDescent="0.25">
      <c r="B91" s="89">
        <v>75</v>
      </c>
      <c r="C91" s="77" t="s">
        <v>92</v>
      </c>
      <c r="D91" s="55">
        <v>1987</v>
      </c>
      <c r="E91" s="55"/>
      <c r="F91" s="55" t="s">
        <v>24</v>
      </c>
      <c r="G91" s="55">
        <v>9</v>
      </c>
      <c r="H91" s="55">
        <v>1</v>
      </c>
      <c r="I91" s="41">
        <v>1912.7</v>
      </c>
      <c r="J91" s="41">
        <v>1893</v>
      </c>
      <c r="K91" s="41">
        <f>J91-46.8</f>
        <v>1846.2</v>
      </c>
      <c r="L91" s="105">
        <v>91</v>
      </c>
      <c r="M91" s="41">
        <v>2760093</v>
      </c>
      <c r="N91" s="41">
        <v>0</v>
      </c>
      <c r="O91" s="41">
        <v>0</v>
      </c>
      <c r="P91" s="41">
        <f t="shared" si="5"/>
        <v>2760093</v>
      </c>
      <c r="Q91" s="41">
        <v>0</v>
      </c>
      <c r="R91" s="41">
        <v>0</v>
      </c>
      <c r="S91" s="41">
        <f t="shared" si="4"/>
        <v>1458.0522979397781</v>
      </c>
      <c r="T91" s="53">
        <v>7822</v>
      </c>
      <c r="U91" s="90" t="s">
        <v>69</v>
      </c>
    </row>
    <row r="92" spans="2:21" s="44" customFormat="1" x14ac:dyDescent="0.25">
      <c r="B92" s="89">
        <v>76</v>
      </c>
      <c r="C92" s="77" t="s">
        <v>111</v>
      </c>
      <c r="D92" s="55">
        <v>1987</v>
      </c>
      <c r="E92" s="55"/>
      <c r="F92" s="55" t="s">
        <v>24</v>
      </c>
      <c r="G92" s="55">
        <v>9</v>
      </c>
      <c r="H92" s="55">
        <v>1</v>
      </c>
      <c r="I92" s="41">
        <v>1910.7</v>
      </c>
      <c r="J92" s="41">
        <v>1893</v>
      </c>
      <c r="K92" s="41">
        <f>J92-231</f>
        <v>1662</v>
      </c>
      <c r="L92" s="105">
        <v>75</v>
      </c>
      <c r="M92" s="41">
        <v>2760575</v>
      </c>
      <c r="N92" s="41">
        <v>0</v>
      </c>
      <c r="O92" s="41">
        <v>0</v>
      </c>
      <c r="P92" s="41">
        <f t="shared" si="5"/>
        <v>2760575</v>
      </c>
      <c r="Q92" s="41">
        <v>0</v>
      </c>
      <c r="R92" s="41">
        <v>0</v>
      </c>
      <c r="S92" s="41">
        <f t="shared" si="4"/>
        <v>1458.3069202324352</v>
      </c>
      <c r="T92" s="53">
        <v>7822</v>
      </c>
      <c r="U92" s="90" t="s">
        <v>69</v>
      </c>
    </row>
    <row r="93" spans="2:21" s="44" customFormat="1" x14ac:dyDescent="0.25">
      <c r="B93" s="89">
        <v>77</v>
      </c>
      <c r="C93" s="77" t="s">
        <v>101</v>
      </c>
      <c r="D93" s="55">
        <v>1980</v>
      </c>
      <c r="E93" s="55"/>
      <c r="F93" s="55" t="s">
        <v>25</v>
      </c>
      <c r="G93" s="55">
        <v>9</v>
      </c>
      <c r="H93" s="55">
        <v>1</v>
      </c>
      <c r="I93" s="41">
        <v>5899.9</v>
      </c>
      <c r="J93" s="41">
        <v>4999.8999999999996</v>
      </c>
      <c r="K93" s="41">
        <f>J93-47.5-1575.1</f>
        <v>3377.2999999999997</v>
      </c>
      <c r="L93" s="105">
        <v>145</v>
      </c>
      <c r="M93" s="41">
        <v>1942592</v>
      </c>
      <c r="N93" s="41">
        <v>0</v>
      </c>
      <c r="O93" s="41">
        <v>0</v>
      </c>
      <c r="P93" s="41">
        <f t="shared" si="5"/>
        <v>1942592</v>
      </c>
      <c r="Q93" s="41">
        <v>0</v>
      </c>
      <c r="R93" s="41">
        <v>0</v>
      </c>
      <c r="S93" s="41">
        <f t="shared" si="4"/>
        <v>388.52617052341049</v>
      </c>
      <c r="T93" s="53">
        <v>7822</v>
      </c>
      <c r="U93" s="90" t="s">
        <v>69</v>
      </c>
    </row>
    <row r="94" spans="2:21" s="44" customFormat="1" x14ac:dyDescent="0.25">
      <c r="B94" s="91">
        <v>78</v>
      </c>
      <c r="C94" s="77" t="s">
        <v>140</v>
      </c>
      <c r="D94" s="55">
        <v>1974</v>
      </c>
      <c r="E94" s="55"/>
      <c r="F94" s="55" t="s">
        <v>25</v>
      </c>
      <c r="G94" s="55">
        <v>9</v>
      </c>
      <c r="H94" s="55">
        <v>5</v>
      </c>
      <c r="I94" s="41">
        <v>15709.9</v>
      </c>
      <c r="J94" s="41">
        <v>15001.9</v>
      </c>
      <c r="K94" s="41">
        <f>J94-4441.5-783</f>
        <v>9777.4</v>
      </c>
      <c r="L94" s="105">
        <v>340</v>
      </c>
      <c r="M94" s="41">
        <v>19462767</v>
      </c>
      <c r="N94" s="41">
        <v>0</v>
      </c>
      <c r="O94" s="41">
        <v>0</v>
      </c>
      <c r="P94" s="41">
        <f t="shared" si="5"/>
        <v>19462767</v>
      </c>
      <c r="Q94" s="41">
        <v>0</v>
      </c>
      <c r="R94" s="41">
        <v>0</v>
      </c>
      <c r="S94" s="41">
        <f t="shared" si="4"/>
        <v>1297.3534685606489</v>
      </c>
      <c r="T94" s="53">
        <v>7822</v>
      </c>
      <c r="U94" s="90" t="s">
        <v>69</v>
      </c>
    </row>
    <row r="95" spans="2:21" s="44" customFormat="1" ht="15" customHeight="1" x14ac:dyDescent="0.25">
      <c r="B95" s="89">
        <v>79</v>
      </c>
      <c r="C95" s="77" t="s">
        <v>99</v>
      </c>
      <c r="D95" s="54">
        <v>1982</v>
      </c>
      <c r="E95" s="55"/>
      <c r="F95" s="55" t="s">
        <v>24</v>
      </c>
      <c r="G95" s="55">
        <v>12</v>
      </c>
      <c r="H95" s="55">
        <v>1</v>
      </c>
      <c r="I95" s="41">
        <v>3835.4</v>
      </c>
      <c r="J95" s="41">
        <v>3643.6</v>
      </c>
      <c r="K95" s="41">
        <f>J95-96.5</f>
        <v>3547.1</v>
      </c>
      <c r="L95" s="106">
        <v>132</v>
      </c>
      <c r="M95" s="41">
        <v>5348252</v>
      </c>
      <c r="N95" s="41">
        <v>0</v>
      </c>
      <c r="O95" s="41">
        <v>0</v>
      </c>
      <c r="P95" s="41">
        <f t="shared" si="5"/>
        <v>5348252</v>
      </c>
      <c r="Q95" s="41">
        <v>0</v>
      </c>
      <c r="R95" s="41">
        <v>0</v>
      </c>
      <c r="S95" s="41">
        <f t="shared" si="4"/>
        <v>1467.8482819189812</v>
      </c>
      <c r="T95" s="53">
        <v>7822</v>
      </c>
      <c r="U95" s="90" t="s">
        <v>69</v>
      </c>
    </row>
    <row r="96" spans="2:21" s="44" customFormat="1" x14ac:dyDescent="0.25">
      <c r="B96" s="89">
        <v>80</v>
      </c>
      <c r="C96" s="77" t="s">
        <v>376</v>
      </c>
      <c r="D96" s="54">
        <v>1955</v>
      </c>
      <c r="E96" s="55"/>
      <c r="F96" s="55" t="s">
        <v>25</v>
      </c>
      <c r="G96" s="55">
        <v>4</v>
      </c>
      <c r="H96" s="55">
        <v>5</v>
      </c>
      <c r="I96" s="41">
        <v>5600.4</v>
      </c>
      <c r="J96" s="41">
        <v>5061.6000000000004</v>
      </c>
      <c r="K96" s="41">
        <f>J96-949.6</f>
        <v>4112</v>
      </c>
      <c r="L96" s="106">
        <v>92</v>
      </c>
      <c r="M96" s="41">
        <f>2955118+9766646</f>
        <v>12721764</v>
      </c>
      <c r="N96" s="41">
        <v>0</v>
      </c>
      <c r="O96" s="41">
        <v>0</v>
      </c>
      <c r="P96" s="41">
        <f t="shared" si="5"/>
        <v>12721764</v>
      </c>
      <c r="Q96" s="41">
        <v>0</v>
      </c>
      <c r="R96" s="41">
        <v>0</v>
      </c>
      <c r="S96" s="41">
        <f t="shared" si="4"/>
        <v>2513.3878615457561</v>
      </c>
      <c r="T96" s="53">
        <v>7822</v>
      </c>
      <c r="U96" s="90" t="s">
        <v>69</v>
      </c>
    </row>
    <row r="97" spans="2:21" s="44" customFormat="1" x14ac:dyDescent="0.25">
      <c r="B97" s="89">
        <v>81</v>
      </c>
      <c r="C97" s="77" t="s">
        <v>98</v>
      </c>
      <c r="D97" s="54">
        <v>1980</v>
      </c>
      <c r="E97" s="55"/>
      <c r="F97" s="55" t="s">
        <v>25</v>
      </c>
      <c r="G97" s="55">
        <v>9</v>
      </c>
      <c r="H97" s="55">
        <v>1</v>
      </c>
      <c r="I97" s="41">
        <v>3952.9</v>
      </c>
      <c r="J97" s="41">
        <v>3913.4</v>
      </c>
      <c r="K97" s="41">
        <f>J97-375.8-91.5</f>
        <v>3446.1</v>
      </c>
      <c r="L97" s="106">
        <v>150</v>
      </c>
      <c r="M97" s="41">
        <v>1943184</v>
      </c>
      <c r="N97" s="41">
        <v>0</v>
      </c>
      <c r="O97" s="41">
        <v>0</v>
      </c>
      <c r="P97" s="41">
        <f t="shared" si="5"/>
        <v>1943184</v>
      </c>
      <c r="Q97" s="41">
        <v>0</v>
      </c>
      <c r="R97" s="41">
        <v>0</v>
      </c>
      <c r="S97" s="41">
        <f t="shared" si="4"/>
        <v>496.54622578831703</v>
      </c>
      <c r="T97" s="53">
        <v>7822</v>
      </c>
      <c r="U97" s="90" t="s">
        <v>69</v>
      </c>
    </row>
    <row r="98" spans="2:21" s="44" customFormat="1" x14ac:dyDescent="0.25">
      <c r="B98" s="89">
        <v>82</v>
      </c>
      <c r="C98" s="77" t="s">
        <v>169</v>
      </c>
      <c r="D98" s="54">
        <v>1984</v>
      </c>
      <c r="E98" s="55"/>
      <c r="F98" s="55" t="s">
        <v>24</v>
      </c>
      <c r="G98" s="55">
        <v>9</v>
      </c>
      <c r="H98" s="55">
        <v>3</v>
      </c>
      <c r="I98" s="41">
        <v>6463.6</v>
      </c>
      <c r="J98" s="41">
        <v>5777.9</v>
      </c>
      <c r="K98" s="41">
        <f>J98</f>
        <v>5777.9</v>
      </c>
      <c r="L98" s="106">
        <v>266</v>
      </c>
      <c r="M98" s="41">
        <v>7993039</v>
      </c>
      <c r="N98" s="41">
        <v>0</v>
      </c>
      <c r="O98" s="41">
        <v>0</v>
      </c>
      <c r="P98" s="41">
        <f t="shared" si="5"/>
        <v>7993039</v>
      </c>
      <c r="Q98" s="41">
        <v>0</v>
      </c>
      <c r="R98" s="41">
        <v>0</v>
      </c>
      <c r="S98" s="41">
        <f t="shared" si="4"/>
        <v>1383.3813323179702</v>
      </c>
      <c r="T98" s="53">
        <v>7822</v>
      </c>
      <c r="U98" s="90" t="s">
        <v>69</v>
      </c>
    </row>
    <row r="99" spans="2:21" s="44" customFormat="1" x14ac:dyDescent="0.25">
      <c r="B99" s="91">
        <v>83</v>
      </c>
      <c r="C99" s="77" t="s">
        <v>170</v>
      </c>
      <c r="D99" s="54">
        <v>1950</v>
      </c>
      <c r="E99" s="55"/>
      <c r="F99" s="55" t="s">
        <v>46</v>
      </c>
      <c r="G99" s="55">
        <v>2</v>
      </c>
      <c r="H99" s="55">
        <v>3</v>
      </c>
      <c r="I99" s="41">
        <v>1395.9</v>
      </c>
      <c r="J99" s="41">
        <v>1263.0999999999999</v>
      </c>
      <c r="K99" s="41">
        <f>1102.5-138.3</f>
        <v>964.2</v>
      </c>
      <c r="L99" s="106">
        <v>49</v>
      </c>
      <c r="M99" s="41">
        <v>1168390</v>
      </c>
      <c r="N99" s="41">
        <v>0</v>
      </c>
      <c r="O99" s="41">
        <v>0</v>
      </c>
      <c r="P99" s="41">
        <f t="shared" si="5"/>
        <v>1168390</v>
      </c>
      <c r="Q99" s="41">
        <v>0</v>
      </c>
      <c r="R99" s="41">
        <v>0</v>
      </c>
      <c r="S99" s="41">
        <f t="shared" si="4"/>
        <v>925.01781331644372</v>
      </c>
      <c r="T99" s="53">
        <v>7822</v>
      </c>
      <c r="U99" s="90" t="s">
        <v>69</v>
      </c>
    </row>
    <row r="100" spans="2:21" s="44" customFormat="1" x14ac:dyDescent="0.25">
      <c r="B100" s="89">
        <v>84</v>
      </c>
      <c r="C100" s="77" t="s">
        <v>118</v>
      </c>
      <c r="D100" s="54">
        <v>1986</v>
      </c>
      <c r="E100" s="55"/>
      <c r="F100" s="55" t="s">
        <v>24</v>
      </c>
      <c r="G100" s="55">
        <v>9</v>
      </c>
      <c r="H100" s="55">
        <v>3</v>
      </c>
      <c r="I100" s="41">
        <v>6537.7</v>
      </c>
      <c r="J100" s="41">
        <v>5838</v>
      </c>
      <c r="K100" s="41">
        <f>J100-164.1</f>
        <v>5673.9</v>
      </c>
      <c r="L100" s="106">
        <v>265</v>
      </c>
      <c r="M100" s="41">
        <v>5783954</v>
      </c>
      <c r="N100" s="41">
        <v>0</v>
      </c>
      <c r="O100" s="41">
        <v>0</v>
      </c>
      <c r="P100" s="41">
        <f t="shared" si="5"/>
        <v>5783954</v>
      </c>
      <c r="Q100" s="41">
        <v>0</v>
      </c>
      <c r="R100" s="41">
        <v>0</v>
      </c>
      <c r="S100" s="41">
        <f t="shared" si="4"/>
        <v>990.74237752655017</v>
      </c>
      <c r="T100" s="53">
        <v>7822</v>
      </c>
      <c r="U100" s="90" t="s">
        <v>69</v>
      </c>
    </row>
    <row r="101" spans="2:21" s="44" customFormat="1" x14ac:dyDescent="0.25">
      <c r="B101" s="89">
        <v>85</v>
      </c>
      <c r="C101" s="77" t="s">
        <v>177</v>
      </c>
      <c r="D101" s="54">
        <v>1984</v>
      </c>
      <c r="E101" s="55"/>
      <c r="F101" s="55" t="s">
        <v>24</v>
      </c>
      <c r="G101" s="55">
        <v>9</v>
      </c>
      <c r="H101" s="55">
        <v>3</v>
      </c>
      <c r="I101" s="41">
        <v>5702.7</v>
      </c>
      <c r="J101" s="41">
        <v>5657.03</v>
      </c>
      <c r="K101" s="41">
        <f>J101-292</f>
        <v>5365.03</v>
      </c>
      <c r="L101" s="106">
        <v>243</v>
      </c>
      <c r="M101" s="41">
        <v>5806170</v>
      </c>
      <c r="N101" s="41">
        <v>0</v>
      </c>
      <c r="O101" s="41">
        <v>0</v>
      </c>
      <c r="P101" s="41">
        <f t="shared" si="5"/>
        <v>5806170</v>
      </c>
      <c r="Q101" s="41">
        <v>0</v>
      </c>
      <c r="R101" s="41">
        <v>0</v>
      </c>
      <c r="S101" s="41">
        <f t="shared" si="4"/>
        <v>1026.3636572547787</v>
      </c>
      <c r="T101" s="53">
        <v>7822</v>
      </c>
      <c r="U101" s="90" t="s">
        <v>174</v>
      </c>
    </row>
    <row r="102" spans="2:21" s="44" customFormat="1" x14ac:dyDescent="0.25">
      <c r="B102" s="89">
        <v>86</v>
      </c>
      <c r="C102" s="77" t="s">
        <v>176</v>
      </c>
      <c r="D102" s="54">
        <v>1978</v>
      </c>
      <c r="E102" s="55"/>
      <c r="F102" s="55" t="s">
        <v>25</v>
      </c>
      <c r="G102" s="55">
        <v>9</v>
      </c>
      <c r="H102" s="55">
        <v>1</v>
      </c>
      <c r="I102" s="41">
        <v>4424.6000000000004</v>
      </c>
      <c r="J102" s="41">
        <f>3495.9+500.2</f>
        <v>3996.1</v>
      </c>
      <c r="K102" s="41">
        <f>3495.9-194.6</f>
        <v>3301.3</v>
      </c>
      <c r="L102" s="106">
        <v>141</v>
      </c>
      <c r="M102" s="41">
        <v>1951242</v>
      </c>
      <c r="N102" s="41">
        <v>0</v>
      </c>
      <c r="O102" s="41">
        <v>0</v>
      </c>
      <c r="P102" s="41">
        <f t="shared" si="5"/>
        <v>1951242</v>
      </c>
      <c r="Q102" s="41">
        <v>0</v>
      </c>
      <c r="R102" s="41">
        <v>0</v>
      </c>
      <c r="S102" s="41">
        <f t="shared" si="4"/>
        <v>488.28657941492958</v>
      </c>
      <c r="T102" s="53">
        <v>7822</v>
      </c>
      <c r="U102" s="90" t="s">
        <v>174</v>
      </c>
    </row>
    <row r="103" spans="2:21" s="44" customFormat="1" x14ac:dyDescent="0.25">
      <c r="B103" s="89">
        <v>87</v>
      </c>
      <c r="C103" s="77" t="s">
        <v>175</v>
      </c>
      <c r="D103" s="54">
        <v>1985</v>
      </c>
      <c r="E103" s="55"/>
      <c r="F103" s="55" t="s">
        <v>24</v>
      </c>
      <c r="G103" s="55">
        <v>9</v>
      </c>
      <c r="H103" s="55">
        <v>10</v>
      </c>
      <c r="I103" s="41">
        <v>19811.8</v>
      </c>
      <c r="J103" s="41">
        <v>19734.8</v>
      </c>
      <c r="K103" s="41">
        <f>J103-577.2</f>
        <v>19157.599999999999</v>
      </c>
      <c r="L103" s="106">
        <v>819</v>
      </c>
      <c r="M103" s="41">
        <v>19742980</v>
      </c>
      <c r="N103" s="41">
        <v>0</v>
      </c>
      <c r="O103" s="41">
        <v>0</v>
      </c>
      <c r="P103" s="41">
        <f t="shared" si="5"/>
        <v>19742980</v>
      </c>
      <c r="Q103" s="41">
        <v>0</v>
      </c>
      <c r="R103" s="41">
        <v>0</v>
      </c>
      <c r="S103" s="41">
        <f t="shared" si="4"/>
        <v>1000.4144962198756</v>
      </c>
      <c r="T103" s="53">
        <v>7822</v>
      </c>
      <c r="U103" s="90" t="s">
        <v>174</v>
      </c>
    </row>
    <row r="104" spans="2:21" s="44" customFormat="1" x14ac:dyDescent="0.25">
      <c r="B104" s="91">
        <v>88</v>
      </c>
      <c r="C104" s="77" t="s">
        <v>178</v>
      </c>
      <c r="D104" s="54">
        <v>1988</v>
      </c>
      <c r="E104" s="55"/>
      <c r="F104" s="55" t="s">
        <v>25</v>
      </c>
      <c r="G104" s="55">
        <v>9</v>
      </c>
      <c r="H104" s="55">
        <v>5</v>
      </c>
      <c r="I104" s="41">
        <v>11969.3</v>
      </c>
      <c r="J104" s="41">
        <v>10726.2</v>
      </c>
      <c r="K104" s="41">
        <f>J104-928.9</f>
        <v>9797.3000000000011</v>
      </c>
      <c r="L104" s="106">
        <v>384</v>
      </c>
      <c r="M104" s="41">
        <v>9744109</v>
      </c>
      <c r="N104" s="41">
        <v>0</v>
      </c>
      <c r="O104" s="41">
        <v>0</v>
      </c>
      <c r="P104" s="41">
        <f t="shared" si="5"/>
        <v>9744109</v>
      </c>
      <c r="Q104" s="41">
        <v>0</v>
      </c>
      <c r="R104" s="41">
        <v>0</v>
      </c>
      <c r="S104" s="41">
        <f t="shared" si="4"/>
        <v>908.43998806660318</v>
      </c>
      <c r="T104" s="53">
        <v>7822</v>
      </c>
      <c r="U104" s="90" t="s">
        <v>174</v>
      </c>
    </row>
    <row r="105" spans="2:21" s="44" customFormat="1" x14ac:dyDescent="0.25">
      <c r="B105" s="89">
        <v>89</v>
      </c>
      <c r="C105" s="77" t="s">
        <v>179</v>
      </c>
      <c r="D105" s="54">
        <v>1980</v>
      </c>
      <c r="E105" s="55"/>
      <c r="F105" s="55" t="s">
        <v>25</v>
      </c>
      <c r="G105" s="55">
        <v>9</v>
      </c>
      <c r="H105" s="55">
        <v>3</v>
      </c>
      <c r="I105" s="41">
        <v>6749.2</v>
      </c>
      <c r="J105" s="41">
        <v>5862.8</v>
      </c>
      <c r="K105" s="41">
        <f>J105-237.7</f>
        <v>5625.1</v>
      </c>
      <c r="L105" s="106">
        <v>196</v>
      </c>
      <c r="M105" s="41">
        <v>5808008</v>
      </c>
      <c r="N105" s="41">
        <v>0</v>
      </c>
      <c r="O105" s="41">
        <v>0</v>
      </c>
      <c r="P105" s="41">
        <f t="shared" si="5"/>
        <v>5808008</v>
      </c>
      <c r="Q105" s="41">
        <v>0</v>
      </c>
      <c r="R105" s="41">
        <v>0</v>
      </c>
      <c r="S105" s="41">
        <f t="shared" si="4"/>
        <v>990.65429487616836</v>
      </c>
      <c r="T105" s="53">
        <v>7822</v>
      </c>
      <c r="U105" s="90" t="s">
        <v>174</v>
      </c>
    </row>
    <row r="106" spans="2:21" s="44" customFormat="1" x14ac:dyDescent="0.25">
      <c r="B106" s="89">
        <v>90</v>
      </c>
      <c r="C106" s="77" t="s">
        <v>180</v>
      </c>
      <c r="D106" s="54">
        <v>1983</v>
      </c>
      <c r="E106" s="55"/>
      <c r="F106" s="55" t="s">
        <v>24</v>
      </c>
      <c r="G106" s="55">
        <v>12</v>
      </c>
      <c r="H106" s="55">
        <v>1</v>
      </c>
      <c r="I106" s="41">
        <v>3557.9</v>
      </c>
      <c r="J106" s="41">
        <v>3500.9</v>
      </c>
      <c r="K106" s="41">
        <f>J106-115.1</f>
        <v>3385.8</v>
      </c>
      <c r="L106" s="106">
        <v>130</v>
      </c>
      <c r="M106" s="41">
        <v>3874044</v>
      </c>
      <c r="N106" s="41">
        <v>0</v>
      </c>
      <c r="O106" s="41">
        <v>0</v>
      </c>
      <c r="P106" s="41">
        <f t="shared" si="5"/>
        <v>3874044</v>
      </c>
      <c r="Q106" s="41">
        <v>0</v>
      </c>
      <c r="R106" s="41">
        <v>0</v>
      </c>
      <c r="S106" s="41">
        <f t="shared" si="4"/>
        <v>1106.5851638150189</v>
      </c>
      <c r="T106" s="53">
        <v>7822</v>
      </c>
      <c r="U106" s="90" t="s">
        <v>174</v>
      </c>
    </row>
    <row r="107" spans="2:21" s="44" customFormat="1" x14ac:dyDescent="0.25">
      <c r="B107" s="89">
        <v>91</v>
      </c>
      <c r="C107" s="77" t="s">
        <v>181</v>
      </c>
      <c r="D107" s="54">
        <v>1988</v>
      </c>
      <c r="E107" s="55"/>
      <c r="F107" s="55" t="s">
        <v>25</v>
      </c>
      <c r="G107" s="55">
        <v>9</v>
      </c>
      <c r="H107" s="55">
        <v>1</v>
      </c>
      <c r="I107" s="41">
        <v>3311.5</v>
      </c>
      <c r="J107" s="41">
        <v>3249.6</v>
      </c>
      <c r="K107" s="41">
        <f>J107-283.3</f>
        <v>2966.2999999999997</v>
      </c>
      <c r="L107" s="106">
        <v>171</v>
      </c>
      <c r="M107" s="41">
        <v>1945834</v>
      </c>
      <c r="N107" s="41">
        <v>0</v>
      </c>
      <c r="O107" s="41">
        <v>0</v>
      </c>
      <c r="P107" s="41">
        <f t="shared" si="5"/>
        <v>1945834</v>
      </c>
      <c r="Q107" s="41">
        <v>0</v>
      </c>
      <c r="R107" s="41">
        <v>0</v>
      </c>
      <c r="S107" s="41">
        <f t="shared" si="4"/>
        <v>598.79185130477595</v>
      </c>
      <c r="T107" s="53">
        <v>7822</v>
      </c>
      <c r="U107" s="90" t="s">
        <v>174</v>
      </c>
    </row>
    <row r="108" spans="2:21" s="44" customFormat="1" x14ac:dyDescent="0.25">
      <c r="B108" s="89">
        <v>92</v>
      </c>
      <c r="C108" s="77" t="s">
        <v>183</v>
      </c>
      <c r="D108" s="54">
        <v>1985</v>
      </c>
      <c r="E108" s="55"/>
      <c r="F108" s="55" t="s">
        <v>182</v>
      </c>
      <c r="G108" s="55">
        <v>9</v>
      </c>
      <c r="H108" s="55">
        <v>1</v>
      </c>
      <c r="I108" s="41">
        <v>3941.1</v>
      </c>
      <c r="J108" s="41">
        <f>3831.8+69.8</f>
        <v>3901.6000000000004</v>
      </c>
      <c r="K108" s="41">
        <f>3831.8-150.4</f>
        <v>3681.4</v>
      </c>
      <c r="L108" s="106">
        <v>184</v>
      </c>
      <c r="M108" s="41">
        <v>1944466</v>
      </c>
      <c r="N108" s="41">
        <v>0</v>
      </c>
      <c r="O108" s="41">
        <v>0</v>
      </c>
      <c r="P108" s="41">
        <f t="shared" si="5"/>
        <v>1944466</v>
      </c>
      <c r="Q108" s="41">
        <v>0</v>
      </c>
      <c r="R108" s="41">
        <v>0</v>
      </c>
      <c r="S108" s="41">
        <f t="shared" si="4"/>
        <v>498.37656346114409</v>
      </c>
      <c r="T108" s="53">
        <v>7822</v>
      </c>
      <c r="U108" s="90" t="s">
        <v>174</v>
      </c>
    </row>
    <row r="109" spans="2:21" s="44" customFormat="1" x14ac:dyDescent="0.25">
      <c r="B109" s="91">
        <v>93</v>
      </c>
      <c r="C109" s="77" t="s">
        <v>184</v>
      </c>
      <c r="D109" s="54">
        <v>1977</v>
      </c>
      <c r="E109" s="55"/>
      <c r="F109" s="55" t="s">
        <v>24</v>
      </c>
      <c r="G109" s="55">
        <v>12</v>
      </c>
      <c r="H109" s="55">
        <v>1</v>
      </c>
      <c r="I109" s="41">
        <v>2780.4</v>
      </c>
      <c r="J109" s="41">
        <v>2602.6</v>
      </c>
      <c r="K109" s="41">
        <f>J109-163.66</f>
        <v>2438.94</v>
      </c>
      <c r="L109" s="106">
        <v>89</v>
      </c>
      <c r="M109" s="41">
        <v>3871107</v>
      </c>
      <c r="N109" s="41">
        <v>0</v>
      </c>
      <c r="O109" s="41">
        <v>0</v>
      </c>
      <c r="P109" s="41">
        <f t="shared" si="5"/>
        <v>3871107</v>
      </c>
      <c r="Q109" s="41">
        <v>0</v>
      </c>
      <c r="R109" s="41">
        <v>0</v>
      </c>
      <c r="S109" s="41">
        <f t="shared" si="4"/>
        <v>1487.3999077845233</v>
      </c>
      <c r="T109" s="53">
        <v>7822</v>
      </c>
      <c r="U109" s="90" t="s">
        <v>174</v>
      </c>
    </row>
    <row r="110" spans="2:21" s="44" customFormat="1" x14ac:dyDescent="0.25">
      <c r="B110" s="89">
        <v>94</v>
      </c>
      <c r="C110" s="77" t="s">
        <v>185</v>
      </c>
      <c r="D110" s="54">
        <v>1988</v>
      </c>
      <c r="E110" s="55"/>
      <c r="F110" s="55" t="s">
        <v>24</v>
      </c>
      <c r="G110" s="55">
        <v>9</v>
      </c>
      <c r="H110" s="55">
        <v>3</v>
      </c>
      <c r="I110" s="41">
        <v>6516.4</v>
      </c>
      <c r="J110" s="41">
        <v>5802.1</v>
      </c>
      <c r="K110" s="41">
        <f>J110-101.1</f>
        <v>5701</v>
      </c>
      <c r="L110" s="106">
        <v>252</v>
      </c>
      <c r="M110" s="41">
        <v>5807737</v>
      </c>
      <c r="N110" s="41">
        <v>0</v>
      </c>
      <c r="O110" s="41">
        <v>0</v>
      </c>
      <c r="P110" s="41">
        <f t="shared" si="5"/>
        <v>5807737</v>
      </c>
      <c r="Q110" s="41">
        <v>0</v>
      </c>
      <c r="R110" s="41">
        <v>0</v>
      </c>
      <c r="S110" s="41">
        <f t="shared" si="4"/>
        <v>1000.9715447855086</v>
      </c>
      <c r="T110" s="53">
        <v>7822</v>
      </c>
      <c r="U110" s="90" t="s">
        <v>174</v>
      </c>
    </row>
    <row r="111" spans="2:21" s="44" customFormat="1" x14ac:dyDescent="0.25">
      <c r="B111" s="89">
        <v>95</v>
      </c>
      <c r="C111" s="77" t="s">
        <v>186</v>
      </c>
      <c r="D111" s="54">
        <v>1989</v>
      </c>
      <c r="E111" s="55"/>
      <c r="F111" s="55" t="s">
        <v>24</v>
      </c>
      <c r="G111" s="55">
        <v>12</v>
      </c>
      <c r="H111" s="55">
        <v>1</v>
      </c>
      <c r="I111" s="41">
        <f>3685.1+169.2</f>
        <v>3854.2999999999997</v>
      </c>
      <c r="J111" s="41">
        <v>3633.1</v>
      </c>
      <c r="K111" s="41">
        <f>J111-176.5</f>
        <v>3456.6</v>
      </c>
      <c r="L111" s="106">
        <v>150</v>
      </c>
      <c r="M111" s="41">
        <v>3888250</v>
      </c>
      <c r="N111" s="41">
        <v>0</v>
      </c>
      <c r="O111" s="41">
        <v>0</v>
      </c>
      <c r="P111" s="41">
        <f t="shared" si="5"/>
        <v>3888250</v>
      </c>
      <c r="Q111" s="41">
        <v>0</v>
      </c>
      <c r="R111" s="41">
        <v>0</v>
      </c>
      <c r="S111" s="41">
        <f t="shared" si="4"/>
        <v>1070.2292807794997</v>
      </c>
      <c r="T111" s="53">
        <v>7822</v>
      </c>
      <c r="U111" s="90" t="s">
        <v>174</v>
      </c>
    </row>
    <row r="112" spans="2:21" s="44" customFormat="1" x14ac:dyDescent="0.25">
      <c r="B112" s="89">
        <v>96</v>
      </c>
      <c r="C112" s="77" t="s">
        <v>187</v>
      </c>
      <c r="D112" s="54">
        <v>1978</v>
      </c>
      <c r="E112" s="55"/>
      <c r="F112" s="55" t="s">
        <v>24</v>
      </c>
      <c r="G112" s="55">
        <v>9</v>
      </c>
      <c r="H112" s="55">
        <v>1</v>
      </c>
      <c r="I112" s="41">
        <v>2165.6</v>
      </c>
      <c r="J112" s="41">
        <v>1940.6</v>
      </c>
      <c r="K112" s="41">
        <f>J112-56.3</f>
        <v>1884.3</v>
      </c>
      <c r="L112" s="106">
        <v>80</v>
      </c>
      <c r="M112" s="41">
        <v>1936760</v>
      </c>
      <c r="N112" s="41">
        <v>0</v>
      </c>
      <c r="O112" s="41">
        <v>0</v>
      </c>
      <c r="P112" s="41">
        <f t="shared" si="5"/>
        <v>1936760</v>
      </c>
      <c r="Q112" s="41">
        <v>0</v>
      </c>
      <c r="R112" s="41">
        <v>0</v>
      </c>
      <c r="S112" s="41">
        <f t="shared" si="4"/>
        <v>998.02123054725348</v>
      </c>
      <c r="T112" s="53">
        <v>7822</v>
      </c>
      <c r="U112" s="90" t="s">
        <v>174</v>
      </c>
    </row>
    <row r="113" spans="2:21" s="44" customFormat="1" x14ac:dyDescent="0.25">
      <c r="B113" s="89">
        <v>97</v>
      </c>
      <c r="C113" s="77" t="s">
        <v>188</v>
      </c>
      <c r="D113" s="54">
        <v>1984</v>
      </c>
      <c r="E113" s="55"/>
      <c r="F113" s="55" t="s">
        <v>24</v>
      </c>
      <c r="G113" s="55">
        <v>9</v>
      </c>
      <c r="H113" s="55">
        <v>3</v>
      </c>
      <c r="I113" s="41">
        <v>6549.8</v>
      </c>
      <c r="J113" s="41">
        <v>5836.9</v>
      </c>
      <c r="K113" s="41">
        <f>J113</f>
        <v>5836.9</v>
      </c>
      <c r="L113" s="106">
        <v>163</v>
      </c>
      <c r="M113" s="41">
        <v>5807744</v>
      </c>
      <c r="N113" s="41">
        <v>0</v>
      </c>
      <c r="O113" s="41">
        <v>0</v>
      </c>
      <c r="P113" s="41">
        <f t="shared" si="5"/>
        <v>5807744</v>
      </c>
      <c r="Q113" s="41">
        <v>0</v>
      </c>
      <c r="R113" s="41">
        <v>0</v>
      </c>
      <c r="S113" s="41">
        <f t="shared" si="4"/>
        <v>995.00488272884581</v>
      </c>
      <c r="T113" s="53">
        <v>7822</v>
      </c>
      <c r="U113" s="90" t="s">
        <v>174</v>
      </c>
    </row>
    <row r="114" spans="2:21" s="44" customFormat="1" x14ac:dyDescent="0.25">
      <c r="B114" s="91">
        <v>98</v>
      </c>
      <c r="C114" s="77" t="s">
        <v>189</v>
      </c>
      <c r="D114" s="54">
        <v>1975</v>
      </c>
      <c r="E114" s="55"/>
      <c r="F114" s="55" t="s">
        <v>24</v>
      </c>
      <c r="G114" s="55">
        <v>9</v>
      </c>
      <c r="H114" s="55">
        <v>3</v>
      </c>
      <c r="I114" s="41">
        <v>6417.9</v>
      </c>
      <c r="J114" s="41">
        <v>5758.7</v>
      </c>
      <c r="K114" s="41">
        <f>5655.6-347.5</f>
        <v>5308.1</v>
      </c>
      <c r="L114" s="106">
        <v>238</v>
      </c>
      <c r="M114" s="41">
        <v>5805894</v>
      </c>
      <c r="N114" s="41">
        <v>0</v>
      </c>
      <c r="O114" s="41">
        <v>0</v>
      </c>
      <c r="P114" s="41">
        <f t="shared" si="5"/>
        <v>5805894</v>
      </c>
      <c r="Q114" s="41">
        <v>0</v>
      </c>
      <c r="R114" s="41">
        <v>0</v>
      </c>
      <c r="S114" s="41">
        <f t="shared" si="4"/>
        <v>1008.1952524007155</v>
      </c>
      <c r="T114" s="53">
        <v>7822</v>
      </c>
      <c r="U114" s="90" t="s">
        <v>174</v>
      </c>
    </row>
    <row r="115" spans="2:21" s="44" customFormat="1" x14ac:dyDescent="0.25">
      <c r="B115" s="89">
        <v>99</v>
      </c>
      <c r="C115" s="77" t="s">
        <v>190</v>
      </c>
      <c r="D115" s="54">
        <v>1987</v>
      </c>
      <c r="E115" s="55"/>
      <c r="F115" s="55" t="s">
        <v>24</v>
      </c>
      <c r="G115" s="55">
        <v>9</v>
      </c>
      <c r="H115" s="55">
        <v>1</v>
      </c>
      <c r="I115" s="41">
        <v>3244.1</v>
      </c>
      <c r="J115" s="41">
        <v>3223</v>
      </c>
      <c r="K115" s="41">
        <f>3202.6-402.5</f>
        <v>2800.1</v>
      </c>
      <c r="L115" s="106">
        <v>185</v>
      </c>
      <c r="M115" s="41">
        <v>1941966</v>
      </c>
      <c r="N115" s="41">
        <v>0</v>
      </c>
      <c r="O115" s="41">
        <v>0</v>
      </c>
      <c r="P115" s="41">
        <f t="shared" si="5"/>
        <v>1941966</v>
      </c>
      <c r="Q115" s="41">
        <v>0</v>
      </c>
      <c r="R115" s="41">
        <v>0</v>
      </c>
      <c r="S115" s="41">
        <f t="shared" si="4"/>
        <v>602.53366428793049</v>
      </c>
      <c r="T115" s="53">
        <v>7822</v>
      </c>
      <c r="U115" s="90" t="s">
        <v>174</v>
      </c>
    </row>
    <row r="116" spans="2:21" s="44" customFormat="1" x14ac:dyDescent="0.25">
      <c r="B116" s="89">
        <v>100</v>
      </c>
      <c r="C116" s="77" t="s">
        <v>191</v>
      </c>
      <c r="D116" s="54">
        <v>1986</v>
      </c>
      <c r="E116" s="55"/>
      <c r="F116" s="55" t="s">
        <v>24</v>
      </c>
      <c r="G116" s="55">
        <v>9</v>
      </c>
      <c r="H116" s="55">
        <v>2</v>
      </c>
      <c r="I116" s="41">
        <v>4499.2</v>
      </c>
      <c r="J116" s="41">
        <v>4011.1</v>
      </c>
      <c r="K116" s="41">
        <f>J116-180.6</f>
        <v>3830.5</v>
      </c>
      <c r="L116" s="106">
        <v>201</v>
      </c>
      <c r="M116" s="41">
        <v>3866971</v>
      </c>
      <c r="N116" s="41">
        <v>0</v>
      </c>
      <c r="O116" s="41">
        <v>0</v>
      </c>
      <c r="P116" s="41">
        <f t="shared" si="5"/>
        <v>3866971</v>
      </c>
      <c r="Q116" s="41">
        <v>0</v>
      </c>
      <c r="R116" s="41">
        <v>0</v>
      </c>
      <c r="S116" s="41">
        <f t="shared" si="4"/>
        <v>964.06746279075571</v>
      </c>
      <c r="T116" s="53">
        <v>7822</v>
      </c>
      <c r="U116" s="90" t="s">
        <v>174</v>
      </c>
    </row>
    <row r="117" spans="2:21" s="44" customFormat="1" x14ac:dyDescent="0.25">
      <c r="B117" s="89">
        <v>101</v>
      </c>
      <c r="C117" s="77" t="s">
        <v>192</v>
      </c>
      <c r="D117" s="54">
        <v>1984</v>
      </c>
      <c r="E117" s="55"/>
      <c r="F117" s="55" t="s">
        <v>25</v>
      </c>
      <c r="G117" s="55">
        <v>12</v>
      </c>
      <c r="H117" s="55">
        <v>1</v>
      </c>
      <c r="I117" s="41">
        <v>3503.5</v>
      </c>
      <c r="J117" s="41">
        <v>3423</v>
      </c>
      <c r="K117" s="41">
        <f>J117-203.5</f>
        <v>3219.5</v>
      </c>
      <c r="L117" s="106">
        <v>162</v>
      </c>
      <c r="M117" s="41">
        <v>3903015</v>
      </c>
      <c r="N117" s="41">
        <v>0</v>
      </c>
      <c r="O117" s="41">
        <v>0</v>
      </c>
      <c r="P117" s="41">
        <f t="shared" si="5"/>
        <v>3903015</v>
      </c>
      <c r="Q117" s="41">
        <v>0</v>
      </c>
      <c r="R117" s="41">
        <v>0</v>
      </c>
      <c r="S117" s="41">
        <f t="shared" si="4"/>
        <v>1140.2322524101664</v>
      </c>
      <c r="T117" s="53">
        <v>7822</v>
      </c>
      <c r="U117" s="90" t="s">
        <v>174</v>
      </c>
    </row>
    <row r="118" spans="2:21" s="44" customFormat="1" x14ac:dyDescent="0.25">
      <c r="B118" s="89">
        <v>102</v>
      </c>
      <c r="C118" s="77" t="s">
        <v>193</v>
      </c>
      <c r="D118" s="54">
        <v>1987</v>
      </c>
      <c r="E118" s="55"/>
      <c r="F118" s="55" t="s">
        <v>25</v>
      </c>
      <c r="G118" s="55">
        <v>9</v>
      </c>
      <c r="H118" s="55">
        <v>1</v>
      </c>
      <c r="I118" s="41">
        <v>3256.1</v>
      </c>
      <c r="J118" s="41">
        <v>3218.6</v>
      </c>
      <c r="K118" s="41">
        <v>3192</v>
      </c>
      <c r="L118" s="106">
        <v>136</v>
      </c>
      <c r="M118" s="41">
        <v>1941930</v>
      </c>
      <c r="N118" s="41">
        <v>0</v>
      </c>
      <c r="O118" s="41">
        <v>0</v>
      </c>
      <c r="P118" s="41">
        <f t="shared" si="5"/>
        <v>1941930</v>
      </c>
      <c r="Q118" s="41">
        <v>0</v>
      </c>
      <c r="R118" s="41">
        <v>0</v>
      </c>
      <c r="S118" s="41">
        <f t="shared" si="4"/>
        <v>603.34617535574478</v>
      </c>
      <c r="T118" s="53">
        <v>7822</v>
      </c>
      <c r="U118" s="90" t="s">
        <v>174</v>
      </c>
    </row>
    <row r="119" spans="2:21" s="44" customFormat="1" x14ac:dyDescent="0.25">
      <c r="B119" s="91">
        <v>103</v>
      </c>
      <c r="C119" s="77" t="s">
        <v>194</v>
      </c>
      <c r="D119" s="54">
        <v>1982</v>
      </c>
      <c r="E119" s="55"/>
      <c r="F119" s="55" t="s">
        <v>24</v>
      </c>
      <c r="G119" s="55">
        <v>9</v>
      </c>
      <c r="H119" s="55">
        <v>4</v>
      </c>
      <c r="I119" s="41">
        <v>8678.6</v>
      </c>
      <c r="J119" s="41">
        <v>7762.8</v>
      </c>
      <c r="K119" s="41">
        <f>J119-416.1</f>
        <v>7346.7</v>
      </c>
      <c r="L119" s="106">
        <v>338</v>
      </c>
      <c r="M119" s="41">
        <v>7761296</v>
      </c>
      <c r="N119" s="41">
        <v>0</v>
      </c>
      <c r="O119" s="41">
        <v>0</v>
      </c>
      <c r="P119" s="41">
        <f t="shared" si="5"/>
        <v>7761296</v>
      </c>
      <c r="Q119" s="41">
        <v>0</v>
      </c>
      <c r="R119" s="41">
        <v>0</v>
      </c>
      <c r="S119" s="41">
        <f t="shared" si="4"/>
        <v>999.80625547482862</v>
      </c>
      <c r="T119" s="53">
        <v>7822</v>
      </c>
      <c r="U119" s="90" t="s">
        <v>174</v>
      </c>
    </row>
    <row r="120" spans="2:21" s="44" customFormat="1" x14ac:dyDescent="0.25">
      <c r="B120" s="89">
        <v>104</v>
      </c>
      <c r="C120" s="77" t="s">
        <v>195</v>
      </c>
      <c r="D120" s="54">
        <v>1990</v>
      </c>
      <c r="E120" s="55"/>
      <c r="F120" s="55" t="s">
        <v>25</v>
      </c>
      <c r="G120" s="132" t="s">
        <v>196</v>
      </c>
      <c r="H120" s="55">
        <v>3</v>
      </c>
      <c r="I120" s="41">
        <v>6677.6</v>
      </c>
      <c r="J120" s="41">
        <v>6511.3</v>
      </c>
      <c r="K120" s="41">
        <f>J120-305.8</f>
        <v>6205.5</v>
      </c>
      <c r="L120" s="106">
        <v>213</v>
      </c>
      <c r="M120" s="41">
        <v>5815343</v>
      </c>
      <c r="N120" s="41">
        <v>0</v>
      </c>
      <c r="O120" s="41">
        <v>0</v>
      </c>
      <c r="P120" s="41">
        <f t="shared" si="5"/>
        <v>5815343</v>
      </c>
      <c r="Q120" s="41">
        <v>0</v>
      </c>
      <c r="R120" s="41">
        <v>0</v>
      </c>
      <c r="S120" s="41">
        <f t="shared" si="4"/>
        <v>893.11550688802538</v>
      </c>
      <c r="T120" s="53">
        <v>7822</v>
      </c>
      <c r="U120" s="90" t="s">
        <v>174</v>
      </c>
    </row>
    <row r="121" spans="2:21" s="44" customFormat="1" x14ac:dyDescent="0.25">
      <c r="B121" s="89">
        <v>105</v>
      </c>
      <c r="C121" s="77" t="s">
        <v>197</v>
      </c>
      <c r="D121" s="54">
        <v>1989</v>
      </c>
      <c r="E121" s="55"/>
      <c r="F121" s="55" t="s">
        <v>24</v>
      </c>
      <c r="G121" s="55">
        <v>10</v>
      </c>
      <c r="H121" s="55">
        <v>5</v>
      </c>
      <c r="I121" s="41">
        <v>13027</v>
      </c>
      <c r="J121" s="41">
        <v>11799.8</v>
      </c>
      <c r="K121" s="41">
        <f>J121-1082.1</f>
        <v>10717.699999999999</v>
      </c>
      <c r="L121" s="106">
        <v>458</v>
      </c>
      <c r="M121" s="41">
        <v>9762734</v>
      </c>
      <c r="N121" s="41">
        <v>0</v>
      </c>
      <c r="O121" s="41">
        <v>0</v>
      </c>
      <c r="P121" s="41">
        <f t="shared" si="5"/>
        <v>9762734</v>
      </c>
      <c r="Q121" s="41">
        <v>0</v>
      </c>
      <c r="R121" s="41">
        <v>0</v>
      </c>
      <c r="S121" s="41">
        <f t="shared" si="4"/>
        <v>827.36436210783233</v>
      </c>
      <c r="T121" s="53">
        <v>7822</v>
      </c>
      <c r="U121" s="90" t="s">
        <v>174</v>
      </c>
    </row>
    <row r="122" spans="2:21" s="44" customFormat="1" x14ac:dyDescent="0.25">
      <c r="B122" s="89">
        <v>106</v>
      </c>
      <c r="C122" s="77" t="s">
        <v>198</v>
      </c>
      <c r="D122" s="54">
        <v>1984</v>
      </c>
      <c r="E122" s="55"/>
      <c r="F122" s="55" t="s">
        <v>25</v>
      </c>
      <c r="G122" s="55">
        <v>9</v>
      </c>
      <c r="H122" s="55">
        <v>5</v>
      </c>
      <c r="I122" s="41">
        <v>10537.9</v>
      </c>
      <c r="J122" s="41">
        <v>9608.6</v>
      </c>
      <c r="K122" s="41">
        <f>9539.2-894.9</f>
        <v>8644.3000000000011</v>
      </c>
      <c r="L122" s="106">
        <v>389</v>
      </c>
      <c r="M122" s="41">
        <v>9724519</v>
      </c>
      <c r="N122" s="41">
        <v>0</v>
      </c>
      <c r="O122" s="41">
        <v>0</v>
      </c>
      <c r="P122" s="41">
        <f t="shared" si="5"/>
        <v>9724519</v>
      </c>
      <c r="Q122" s="41">
        <v>0</v>
      </c>
      <c r="R122" s="41">
        <v>0</v>
      </c>
      <c r="S122" s="41">
        <f t="shared" si="4"/>
        <v>1012.0640884207896</v>
      </c>
      <c r="T122" s="53">
        <v>7822</v>
      </c>
      <c r="U122" s="90" t="s">
        <v>174</v>
      </c>
    </row>
    <row r="123" spans="2:21" s="44" customFormat="1" x14ac:dyDescent="0.25">
      <c r="B123" s="89">
        <v>107</v>
      </c>
      <c r="C123" s="77" t="s">
        <v>199</v>
      </c>
      <c r="D123" s="54">
        <v>1987</v>
      </c>
      <c r="E123" s="55"/>
      <c r="F123" s="55" t="s">
        <v>25</v>
      </c>
      <c r="G123" s="55">
        <v>9</v>
      </c>
      <c r="H123" s="55">
        <v>5</v>
      </c>
      <c r="I123" s="41">
        <v>11846.2</v>
      </c>
      <c r="J123" s="41">
        <v>10775.9</v>
      </c>
      <c r="K123" s="41">
        <f>J123-780.6</f>
        <v>9995.2999999999993</v>
      </c>
      <c r="L123" s="106">
        <v>407</v>
      </c>
      <c r="M123" s="41">
        <v>9744931</v>
      </c>
      <c r="N123" s="41">
        <v>0</v>
      </c>
      <c r="O123" s="41">
        <v>0</v>
      </c>
      <c r="P123" s="41">
        <f t="shared" si="5"/>
        <v>9744931</v>
      </c>
      <c r="Q123" s="41">
        <v>0</v>
      </c>
      <c r="R123" s="41">
        <v>0</v>
      </c>
      <c r="S123" s="41">
        <f t="shared" si="4"/>
        <v>904.3264135710242</v>
      </c>
      <c r="T123" s="53">
        <v>7822</v>
      </c>
      <c r="U123" s="90" t="s">
        <v>174</v>
      </c>
    </row>
    <row r="124" spans="2:21" s="44" customFormat="1" x14ac:dyDescent="0.25">
      <c r="B124" s="91">
        <v>108</v>
      </c>
      <c r="C124" s="77" t="s">
        <v>200</v>
      </c>
      <c r="D124" s="54">
        <v>1978</v>
      </c>
      <c r="E124" s="55"/>
      <c r="F124" s="55" t="s">
        <v>24</v>
      </c>
      <c r="G124" s="55">
        <v>9</v>
      </c>
      <c r="H124" s="55">
        <v>10</v>
      </c>
      <c r="I124" s="41">
        <v>21535.5</v>
      </c>
      <c r="J124" s="41">
        <v>19033</v>
      </c>
      <c r="K124" s="41">
        <f>18830.8-833.9</f>
        <v>17996.899999999998</v>
      </c>
      <c r="L124" s="106">
        <v>751</v>
      </c>
      <c r="M124" s="41">
        <v>19721062</v>
      </c>
      <c r="N124" s="41">
        <v>0</v>
      </c>
      <c r="O124" s="41">
        <v>0</v>
      </c>
      <c r="P124" s="41">
        <f t="shared" si="5"/>
        <v>19721062</v>
      </c>
      <c r="Q124" s="41">
        <v>0</v>
      </c>
      <c r="R124" s="41">
        <v>0</v>
      </c>
      <c r="S124" s="41">
        <f t="shared" si="4"/>
        <v>1036.1510008931855</v>
      </c>
      <c r="T124" s="53">
        <v>7822</v>
      </c>
      <c r="U124" s="90" t="s">
        <v>174</v>
      </c>
    </row>
    <row r="125" spans="2:21" s="44" customFormat="1" x14ac:dyDescent="0.25">
      <c r="B125" s="89">
        <v>109</v>
      </c>
      <c r="C125" s="77" t="s">
        <v>201</v>
      </c>
      <c r="D125" s="54">
        <v>1987</v>
      </c>
      <c r="E125" s="55"/>
      <c r="F125" s="55" t="s">
        <v>24</v>
      </c>
      <c r="G125" s="55">
        <v>9</v>
      </c>
      <c r="H125" s="55">
        <v>4</v>
      </c>
      <c r="I125" s="41">
        <v>8642.4</v>
      </c>
      <c r="J125" s="41">
        <v>7667.4</v>
      </c>
      <c r="K125" s="41">
        <f>J125-282</f>
        <v>7385.4</v>
      </c>
      <c r="L125" s="106">
        <v>365</v>
      </c>
      <c r="M125" s="41">
        <v>7760004</v>
      </c>
      <c r="N125" s="41">
        <v>0</v>
      </c>
      <c r="O125" s="41">
        <v>0</v>
      </c>
      <c r="P125" s="41">
        <f t="shared" si="5"/>
        <v>7760004</v>
      </c>
      <c r="Q125" s="41">
        <v>0</v>
      </c>
      <c r="R125" s="41">
        <v>0</v>
      </c>
      <c r="S125" s="41">
        <f t="shared" si="4"/>
        <v>1012.0776273573832</v>
      </c>
      <c r="T125" s="53">
        <v>7822</v>
      </c>
      <c r="U125" s="90" t="s">
        <v>174</v>
      </c>
    </row>
    <row r="126" spans="2:21" x14ac:dyDescent="0.25">
      <c r="B126" s="203" t="s">
        <v>150</v>
      </c>
      <c r="C126" s="204"/>
      <c r="D126" s="86" t="s">
        <v>26</v>
      </c>
      <c r="E126" s="86" t="s">
        <v>26</v>
      </c>
      <c r="F126" s="86" t="s">
        <v>26</v>
      </c>
      <c r="G126" s="86" t="s">
        <v>26</v>
      </c>
      <c r="H126" s="86" t="s">
        <v>26</v>
      </c>
      <c r="I126" s="87">
        <f>SUM(I17:I125)</f>
        <v>583105.57000000007</v>
      </c>
      <c r="J126" s="87">
        <f>SUM(J17:J125)</f>
        <v>531422.82999999984</v>
      </c>
      <c r="K126" s="87">
        <f>SUM(K17:K125)</f>
        <v>481763.53999999992</v>
      </c>
      <c r="L126" s="107">
        <f>SUM(L17:L125)</f>
        <v>22847</v>
      </c>
      <c r="M126" s="87">
        <f>SUM(M17:M125)</f>
        <v>536293596</v>
      </c>
      <c r="N126" s="87">
        <f>SUM(N17:N101)</f>
        <v>0</v>
      </c>
      <c r="O126" s="87">
        <f>SUM(O17:O101)</f>
        <v>0</v>
      </c>
      <c r="P126" s="87">
        <f>SUM(P17:P125)</f>
        <v>536293596</v>
      </c>
      <c r="Q126" s="87">
        <f>SUM(Q17:Q125)</f>
        <v>0</v>
      </c>
      <c r="R126" s="87">
        <f>SUM(R17:R125)</f>
        <v>0</v>
      </c>
      <c r="S126" s="86" t="s">
        <v>26</v>
      </c>
      <c r="T126" s="86" t="s">
        <v>26</v>
      </c>
      <c r="U126" s="100" t="s">
        <v>26</v>
      </c>
    </row>
    <row r="127" spans="2:21" x14ac:dyDescent="0.25">
      <c r="B127" s="200" t="s">
        <v>38</v>
      </c>
      <c r="C127" s="201"/>
      <c r="D127" s="201"/>
      <c r="E127" s="201"/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  <c r="P127" s="201"/>
      <c r="Q127" s="201"/>
      <c r="R127" s="201"/>
      <c r="S127" s="201"/>
      <c r="T127" s="201"/>
      <c r="U127" s="202"/>
    </row>
    <row r="128" spans="2:21" x14ac:dyDescent="0.25">
      <c r="B128" s="72">
        <v>1</v>
      </c>
      <c r="C128" s="17" t="s">
        <v>157</v>
      </c>
      <c r="D128" s="2">
        <v>1979</v>
      </c>
      <c r="E128" s="6"/>
      <c r="F128" s="29" t="s">
        <v>24</v>
      </c>
      <c r="G128" s="2">
        <v>5</v>
      </c>
      <c r="H128" s="2">
        <v>6</v>
      </c>
      <c r="I128" s="28">
        <v>5034.7</v>
      </c>
      <c r="J128" s="28">
        <v>4604.2</v>
      </c>
      <c r="K128" s="28">
        <f>J128-689.7</f>
        <v>3914.5</v>
      </c>
      <c r="L128" s="18">
        <v>235</v>
      </c>
      <c r="M128" s="41">
        <v>491391</v>
      </c>
      <c r="N128" s="1">
        <v>0</v>
      </c>
      <c r="O128" s="1">
        <v>0</v>
      </c>
      <c r="P128" s="41">
        <f>M128</f>
        <v>491391</v>
      </c>
      <c r="Q128" s="41">
        <v>0</v>
      </c>
      <c r="R128" s="7">
        <v>0</v>
      </c>
      <c r="S128" s="41">
        <f t="shared" ref="S128:S130" si="6">M128/J128</f>
        <v>106.72668433169716</v>
      </c>
      <c r="T128" s="53">
        <v>7822</v>
      </c>
      <c r="U128" s="90" t="s">
        <v>69</v>
      </c>
    </row>
    <row r="129" spans="2:21" x14ac:dyDescent="0.25">
      <c r="B129" s="72">
        <v>2</v>
      </c>
      <c r="C129" s="17" t="s">
        <v>156</v>
      </c>
      <c r="D129" s="2">
        <v>1978</v>
      </c>
      <c r="E129" s="6"/>
      <c r="F129" s="29" t="s">
        <v>24</v>
      </c>
      <c r="G129" s="2">
        <v>5</v>
      </c>
      <c r="H129" s="2">
        <v>6</v>
      </c>
      <c r="I129" s="28">
        <v>5048.8</v>
      </c>
      <c r="J129" s="28">
        <v>4613.3999999999996</v>
      </c>
      <c r="K129" s="28">
        <f>J129-342.4</f>
        <v>4271</v>
      </c>
      <c r="L129" s="18">
        <v>240</v>
      </c>
      <c r="M129" s="41">
        <v>830421</v>
      </c>
      <c r="N129" s="1">
        <v>0</v>
      </c>
      <c r="O129" s="1">
        <v>0</v>
      </c>
      <c r="P129" s="41">
        <f>M129</f>
        <v>830421</v>
      </c>
      <c r="Q129" s="41">
        <v>0</v>
      </c>
      <c r="R129" s="7">
        <v>0</v>
      </c>
      <c r="S129" s="41">
        <f t="shared" si="6"/>
        <v>180.00195083886072</v>
      </c>
      <c r="T129" s="53">
        <v>7822</v>
      </c>
      <c r="U129" s="90" t="s">
        <v>69</v>
      </c>
    </row>
    <row r="130" spans="2:21" s="44" customFormat="1" x14ac:dyDescent="0.25">
      <c r="B130" s="130">
        <v>3</v>
      </c>
      <c r="C130" s="177" t="s">
        <v>202</v>
      </c>
      <c r="D130" s="178">
        <v>1980</v>
      </c>
      <c r="E130" s="179"/>
      <c r="F130" s="180" t="s">
        <v>25</v>
      </c>
      <c r="G130" s="178">
        <v>9</v>
      </c>
      <c r="H130" s="178">
        <v>1</v>
      </c>
      <c r="I130" s="181">
        <v>4203.5</v>
      </c>
      <c r="J130" s="181">
        <v>3251.3</v>
      </c>
      <c r="K130" s="181">
        <f>3176.9-58.6</f>
        <v>3118.3</v>
      </c>
      <c r="L130" s="182">
        <v>141</v>
      </c>
      <c r="M130" s="41">
        <v>733450</v>
      </c>
      <c r="N130" s="183">
        <v>0</v>
      </c>
      <c r="O130" s="183">
        <v>0</v>
      </c>
      <c r="P130" s="41">
        <f>M130</f>
        <v>733450</v>
      </c>
      <c r="Q130" s="41">
        <v>0</v>
      </c>
      <c r="R130" s="184">
        <v>0</v>
      </c>
      <c r="S130" s="41">
        <f t="shared" si="6"/>
        <v>225.58668840156244</v>
      </c>
      <c r="T130" s="53">
        <v>7822</v>
      </c>
      <c r="U130" s="90" t="s">
        <v>69</v>
      </c>
    </row>
    <row r="131" spans="2:21" s="44" customFormat="1" x14ac:dyDescent="0.25">
      <c r="B131" s="130">
        <v>4</v>
      </c>
      <c r="C131" s="177" t="s">
        <v>391</v>
      </c>
      <c r="D131" s="178">
        <v>1983</v>
      </c>
      <c r="E131" s="179"/>
      <c r="F131" s="180" t="s">
        <v>25</v>
      </c>
      <c r="G131" s="178">
        <v>9</v>
      </c>
      <c r="H131" s="178">
        <v>1</v>
      </c>
      <c r="I131" s="181">
        <v>3632</v>
      </c>
      <c r="J131" s="181">
        <v>2648.2</v>
      </c>
      <c r="K131" s="181">
        <f>J131-82</f>
        <v>2566.1999999999998</v>
      </c>
      <c r="L131" s="182">
        <v>80</v>
      </c>
      <c r="M131" s="53">
        <v>1014354.36</v>
      </c>
      <c r="N131" s="183">
        <v>0</v>
      </c>
      <c r="O131" s="183">
        <v>0</v>
      </c>
      <c r="P131" s="53">
        <v>1014354.36</v>
      </c>
      <c r="Q131" s="41">
        <v>0</v>
      </c>
      <c r="R131" s="184">
        <v>0</v>
      </c>
      <c r="S131" s="41">
        <f t="shared" ref="S131" si="7">M131/J131</f>
        <v>383.0354051808776</v>
      </c>
      <c r="T131" s="53">
        <v>7822</v>
      </c>
      <c r="U131" s="90" t="s">
        <v>69</v>
      </c>
    </row>
    <row r="132" spans="2:21" s="44" customFormat="1" ht="15.75" customHeight="1" x14ac:dyDescent="0.25">
      <c r="B132" s="208" t="s">
        <v>150</v>
      </c>
      <c r="C132" s="209"/>
      <c r="D132" s="185" t="s">
        <v>26</v>
      </c>
      <c r="E132" s="185" t="s">
        <v>26</v>
      </c>
      <c r="F132" s="185" t="s">
        <v>26</v>
      </c>
      <c r="G132" s="185" t="s">
        <v>26</v>
      </c>
      <c r="H132" s="185" t="s">
        <v>26</v>
      </c>
      <c r="I132" s="92">
        <f>SUM(I128:I131)</f>
        <v>17919</v>
      </c>
      <c r="J132" s="92">
        <f t="shared" ref="J132:P132" si="8">SUM(J128:J131)</f>
        <v>15117.099999999999</v>
      </c>
      <c r="K132" s="92">
        <f t="shared" si="8"/>
        <v>13870</v>
      </c>
      <c r="L132" s="92">
        <f t="shared" si="8"/>
        <v>696</v>
      </c>
      <c r="M132" s="92">
        <f t="shared" si="8"/>
        <v>3069616.36</v>
      </c>
      <c r="N132" s="92">
        <f t="shared" si="8"/>
        <v>0</v>
      </c>
      <c r="O132" s="92">
        <f t="shared" si="8"/>
        <v>0</v>
      </c>
      <c r="P132" s="92">
        <f t="shared" si="8"/>
        <v>3069616.36</v>
      </c>
      <c r="Q132" s="92">
        <f t="shared" ref="Q132:R132" si="9">Q128+Q129+Q130</f>
        <v>0</v>
      </c>
      <c r="R132" s="92">
        <f t="shared" si="9"/>
        <v>0</v>
      </c>
      <c r="S132" s="185" t="s">
        <v>26</v>
      </c>
      <c r="T132" s="185" t="s">
        <v>26</v>
      </c>
      <c r="U132" s="186" t="s">
        <v>26</v>
      </c>
    </row>
    <row r="133" spans="2:21" s="44" customFormat="1" ht="28.5" customHeight="1" x14ac:dyDescent="0.25">
      <c r="B133" s="210" t="s">
        <v>151</v>
      </c>
      <c r="C133" s="211"/>
      <c r="D133" s="211"/>
      <c r="E133" s="211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  <c r="U133" s="212"/>
    </row>
    <row r="134" spans="2:21" s="44" customFormat="1" x14ac:dyDescent="0.25">
      <c r="B134" s="130">
        <v>1</v>
      </c>
      <c r="C134" s="187" t="s">
        <v>215</v>
      </c>
      <c r="D134" s="180">
        <v>1974</v>
      </c>
      <c r="E134" s="180"/>
      <c r="F134" s="180" t="s">
        <v>24</v>
      </c>
      <c r="G134" s="180">
        <v>5</v>
      </c>
      <c r="H134" s="180">
        <v>4</v>
      </c>
      <c r="I134" s="183">
        <v>2989.7</v>
      </c>
      <c r="J134" s="183">
        <v>2716.6</v>
      </c>
      <c r="K134" s="183">
        <f>J134</f>
        <v>2716.6</v>
      </c>
      <c r="L134" s="182">
        <v>120</v>
      </c>
      <c r="M134" s="41">
        <v>436000</v>
      </c>
      <c r="N134" s="183">
        <v>0</v>
      </c>
      <c r="O134" s="183">
        <v>0</v>
      </c>
      <c r="P134" s="41">
        <f t="shared" ref="P134:P139" si="10">M134</f>
        <v>436000</v>
      </c>
      <c r="Q134" s="183">
        <v>0</v>
      </c>
      <c r="R134" s="183">
        <v>0</v>
      </c>
      <c r="S134" s="41">
        <f t="shared" ref="S134" si="11">M134/J134</f>
        <v>160.49473606714275</v>
      </c>
      <c r="T134" s="53">
        <v>7822</v>
      </c>
      <c r="U134" s="90" t="s">
        <v>69</v>
      </c>
    </row>
    <row r="135" spans="2:21" s="44" customFormat="1" x14ac:dyDescent="0.25">
      <c r="B135" s="188">
        <v>2</v>
      </c>
      <c r="C135" s="189" t="s">
        <v>386</v>
      </c>
      <c r="D135" s="190">
        <v>1995</v>
      </c>
      <c r="E135" s="190"/>
      <c r="F135" s="190" t="s">
        <v>24</v>
      </c>
      <c r="G135" s="190">
        <v>5</v>
      </c>
      <c r="H135" s="190">
        <v>3</v>
      </c>
      <c r="I135" s="191">
        <v>5088.7</v>
      </c>
      <c r="J135" s="191">
        <v>3626.7</v>
      </c>
      <c r="K135" s="191">
        <f>J135</f>
        <v>3626.7</v>
      </c>
      <c r="L135" s="192">
        <v>155</v>
      </c>
      <c r="M135" s="41">
        <v>849157</v>
      </c>
      <c r="N135" s="183">
        <v>0</v>
      </c>
      <c r="O135" s="183">
        <v>0</v>
      </c>
      <c r="P135" s="41">
        <f t="shared" si="10"/>
        <v>849157</v>
      </c>
      <c r="Q135" s="183">
        <v>0</v>
      </c>
      <c r="R135" s="183">
        <v>0</v>
      </c>
      <c r="S135" s="41">
        <f t="shared" ref="S135" si="12">M135/J135</f>
        <v>234.14040312129487</v>
      </c>
      <c r="T135" s="53">
        <v>7822</v>
      </c>
      <c r="U135" s="90" t="s">
        <v>69</v>
      </c>
    </row>
    <row r="136" spans="2:21" s="44" customFormat="1" x14ac:dyDescent="0.25">
      <c r="B136" s="188">
        <v>3</v>
      </c>
      <c r="C136" s="189" t="s">
        <v>387</v>
      </c>
      <c r="D136" s="190">
        <v>2000</v>
      </c>
      <c r="E136" s="190"/>
      <c r="F136" s="190" t="s">
        <v>25</v>
      </c>
      <c r="G136" s="132" t="s">
        <v>388</v>
      </c>
      <c r="H136" s="190">
        <v>11</v>
      </c>
      <c r="I136" s="191">
        <v>11302</v>
      </c>
      <c r="J136" s="191">
        <v>10577</v>
      </c>
      <c r="K136" s="191">
        <f>J136-2683</f>
        <v>7894</v>
      </c>
      <c r="L136" s="192">
        <v>600</v>
      </c>
      <c r="M136" s="41">
        <v>186419.9</v>
      </c>
      <c r="N136" s="183">
        <v>0</v>
      </c>
      <c r="O136" s="183">
        <v>0</v>
      </c>
      <c r="P136" s="41">
        <f t="shared" si="10"/>
        <v>186419.9</v>
      </c>
      <c r="Q136" s="183">
        <v>0</v>
      </c>
      <c r="R136" s="183">
        <v>0</v>
      </c>
      <c r="S136" s="41">
        <f t="shared" ref="S136:S139" si="13">M136/J136</f>
        <v>17.625025999810909</v>
      </c>
      <c r="T136" s="53">
        <v>7822</v>
      </c>
      <c r="U136" s="90" t="s">
        <v>69</v>
      </c>
    </row>
    <row r="137" spans="2:21" s="44" customFormat="1" x14ac:dyDescent="0.25">
      <c r="B137" s="130">
        <v>4</v>
      </c>
      <c r="C137" s="187" t="s">
        <v>389</v>
      </c>
      <c r="D137" s="180">
        <v>1988</v>
      </c>
      <c r="E137" s="180"/>
      <c r="F137" s="180" t="s">
        <v>24</v>
      </c>
      <c r="G137" s="132" t="s">
        <v>390</v>
      </c>
      <c r="H137" s="180">
        <v>3</v>
      </c>
      <c r="I137" s="183">
        <v>7836.6</v>
      </c>
      <c r="J137" s="183">
        <v>7757.6</v>
      </c>
      <c r="K137" s="183">
        <f>J137-81</f>
        <v>7676.6</v>
      </c>
      <c r="L137" s="182">
        <v>198</v>
      </c>
      <c r="M137" s="41">
        <v>1377985.86</v>
      </c>
      <c r="N137" s="183">
        <v>0</v>
      </c>
      <c r="O137" s="183">
        <v>0</v>
      </c>
      <c r="P137" s="41">
        <f t="shared" si="10"/>
        <v>1377985.86</v>
      </c>
      <c r="Q137" s="183">
        <v>0</v>
      </c>
      <c r="R137" s="183">
        <v>0</v>
      </c>
      <c r="S137" s="41">
        <f t="shared" si="13"/>
        <v>177.63043467051665</v>
      </c>
      <c r="T137" s="53">
        <v>7822</v>
      </c>
      <c r="U137" s="90" t="s">
        <v>69</v>
      </c>
    </row>
    <row r="138" spans="2:21" s="44" customFormat="1" x14ac:dyDescent="0.25">
      <c r="B138" s="188">
        <v>5</v>
      </c>
      <c r="C138" s="174" t="s">
        <v>395</v>
      </c>
      <c r="D138" s="190">
        <v>1964</v>
      </c>
      <c r="E138" s="190"/>
      <c r="F138" s="190" t="s">
        <v>24</v>
      </c>
      <c r="G138" s="132" t="s">
        <v>396</v>
      </c>
      <c r="H138" s="190">
        <v>5</v>
      </c>
      <c r="I138" s="191">
        <v>4441.1000000000004</v>
      </c>
      <c r="J138" s="191">
        <v>3375.4</v>
      </c>
      <c r="K138" s="191">
        <f>J138</f>
        <v>3375.4</v>
      </c>
      <c r="L138" s="192">
        <v>125</v>
      </c>
      <c r="M138" s="41">
        <v>657500</v>
      </c>
      <c r="N138" s="183">
        <v>0</v>
      </c>
      <c r="O138" s="183">
        <v>0</v>
      </c>
      <c r="P138" s="41">
        <f t="shared" si="10"/>
        <v>657500</v>
      </c>
      <c r="Q138" s="183">
        <v>0</v>
      </c>
      <c r="R138" s="183">
        <v>0</v>
      </c>
      <c r="S138" s="41">
        <f t="shared" si="13"/>
        <v>194.79172838774664</v>
      </c>
      <c r="T138" s="53">
        <v>7822</v>
      </c>
      <c r="U138" s="90" t="s">
        <v>69</v>
      </c>
    </row>
    <row r="139" spans="2:21" s="44" customFormat="1" x14ac:dyDescent="0.25">
      <c r="B139" s="130">
        <v>6</v>
      </c>
      <c r="C139" s="158" t="s">
        <v>397</v>
      </c>
      <c r="D139" s="180">
        <v>1966</v>
      </c>
      <c r="E139" s="180"/>
      <c r="F139" s="180" t="s">
        <v>24</v>
      </c>
      <c r="G139" s="132" t="s">
        <v>396</v>
      </c>
      <c r="H139" s="180">
        <v>3</v>
      </c>
      <c r="I139" s="183">
        <v>2814</v>
      </c>
      <c r="J139" s="183">
        <v>2608.3000000000002</v>
      </c>
      <c r="K139" s="183">
        <v>2608.3000000000002</v>
      </c>
      <c r="L139" s="182">
        <v>85</v>
      </c>
      <c r="M139" s="41">
        <v>1120312</v>
      </c>
      <c r="N139" s="183">
        <v>0</v>
      </c>
      <c r="O139" s="183">
        <v>0</v>
      </c>
      <c r="P139" s="41">
        <f t="shared" si="10"/>
        <v>1120312</v>
      </c>
      <c r="Q139" s="183">
        <v>0</v>
      </c>
      <c r="R139" s="183">
        <v>0</v>
      </c>
      <c r="S139" s="41">
        <f t="shared" si="13"/>
        <v>429.51807690833107</v>
      </c>
      <c r="T139" s="53">
        <v>7822</v>
      </c>
      <c r="U139" s="90" t="s">
        <v>69</v>
      </c>
    </row>
    <row r="140" spans="2:21" ht="15.75" customHeight="1" thickBot="1" x14ac:dyDescent="0.3">
      <c r="B140" s="213" t="s">
        <v>150</v>
      </c>
      <c r="C140" s="214"/>
      <c r="D140" s="102" t="s">
        <v>26</v>
      </c>
      <c r="E140" s="102" t="s">
        <v>26</v>
      </c>
      <c r="F140" s="102" t="s">
        <v>26</v>
      </c>
      <c r="G140" s="102" t="s">
        <v>26</v>
      </c>
      <c r="H140" s="102" t="s">
        <v>26</v>
      </c>
      <c r="I140" s="93">
        <f>SUM(I134:I139)</f>
        <v>34472.1</v>
      </c>
      <c r="J140" s="93">
        <f t="shared" ref="J140:P140" si="14">SUM(J134:J139)</f>
        <v>30661.600000000002</v>
      </c>
      <c r="K140" s="93">
        <f t="shared" si="14"/>
        <v>27897.600000000002</v>
      </c>
      <c r="L140" s="93">
        <f t="shared" si="14"/>
        <v>1283</v>
      </c>
      <c r="M140" s="93">
        <f t="shared" si="14"/>
        <v>4627374.76</v>
      </c>
      <c r="N140" s="93">
        <f t="shared" si="14"/>
        <v>0</v>
      </c>
      <c r="O140" s="93">
        <f t="shared" si="14"/>
        <v>0</v>
      </c>
      <c r="P140" s="93">
        <f t="shared" si="14"/>
        <v>4627374.76</v>
      </c>
      <c r="Q140" s="93">
        <f t="shared" ref="Q140:R140" si="15">Q134</f>
        <v>0</v>
      </c>
      <c r="R140" s="93">
        <f t="shared" si="15"/>
        <v>0</v>
      </c>
      <c r="S140" s="102" t="s">
        <v>26</v>
      </c>
      <c r="T140" s="102" t="s">
        <v>26</v>
      </c>
      <c r="U140" s="103" t="s">
        <v>26</v>
      </c>
    </row>
    <row r="141" spans="2:21" ht="31.5" customHeight="1" x14ac:dyDescent="0.25">
      <c r="B141" s="205" t="s">
        <v>152</v>
      </c>
      <c r="C141" s="206"/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206"/>
      <c r="O141" s="206"/>
      <c r="P141" s="206"/>
      <c r="Q141" s="206"/>
      <c r="R141" s="206"/>
      <c r="S141" s="206"/>
      <c r="T141" s="206"/>
      <c r="U141" s="207"/>
    </row>
    <row r="142" spans="2:21" ht="30" customHeight="1" x14ac:dyDescent="0.25">
      <c r="B142" s="198" t="s">
        <v>56</v>
      </c>
      <c r="C142" s="199"/>
      <c r="D142" s="88" t="s">
        <v>26</v>
      </c>
      <c r="E142" s="88" t="s">
        <v>26</v>
      </c>
      <c r="F142" s="88" t="s">
        <v>26</v>
      </c>
      <c r="G142" s="88" t="s">
        <v>26</v>
      </c>
      <c r="H142" s="88" t="s">
        <v>26</v>
      </c>
      <c r="I142" s="92">
        <f>I317+I320+I323</f>
        <v>805052.45999999973</v>
      </c>
      <c r="J142" s="92">
        <f t="shared" ref="J142:R142" si="16">J317+J320+J323</f>
        <v>706088.08</v>
      </c>
      <c r="K142" s="92">
        <f t="shared" si="16"/>
        <v>645679.31000000017</v>
      </c>
      <c r="L142" s="92">
        <f t="shared" si="16"/>
        <v>31463</v>
      </c>
      <c r="M142" s="92">
        <f t="shared" si="16"/>
        <v>829484620</v>
      </c>
      <c r="N142" s="92">
        <f t="shared" si="16"/>
        <v>0</v>
      </c>
      <c r="O142" s="92">
        <f t="shared" si="16"/>
        <v>0</v>
      </c>
      <c r="P142" s="92">
        <f t="shared" si="16"/>
        <v>829484620</v>
      </c>
      <c r="Q142" s="92">
        <f t="shared" si="16"/>
        <v>0</v>
      </c>
      <c r="R142" s="92">
        <f t="shared" si="16"/>
        <v>0</v>
      </c>
      <c r="S142" s="88" t="s">
        <v>26</v>
      </c>
      <c r="T142" s="88" t="s">
        <v>26</v>
      </c>
      <c r="U142" s="95" t="s">
        <v>26</v>
      </c>
    </row>
    <row r="143" spans="2:21" s="131" customFormat="1" x14ac:dyDescent="0.25">
      <c r="B143" s="200" t="s">
        <v>398</v>
      </c>
      <c r="C143" s="201"/>
      <c r="D143" s="201"/>
      <c r="E143" s="201"/>
      <c r="F143" s="201"/>
      <c r="G143" s="201"/>
      <c r="H143" s="201"/>
      <c r="I143" s="201"/>
      <c r="J143" s="201"/>
      <c r="K143" s="201"/>
      <c r="L143" s="201"/>
      <c r="M143" s="201"/>
      <c r="N143" s="201"/>
      <c r="O143" s="201"/>
      <c r="P143" s="201"/>
      <c r="Q143" s="201"/>
      <c r="R143" s="201"/>
      <c r="S143" s="201"/>
      <c r="T143" s="201"/>
      <c r="U143" s="202"/>
    </row>
    <row r="144" spans="2:21" s="44" customFormat="1" x14ac:dyDescent="0.25">
      <c r="B144" s="89">
        <v>1</v>
      </c>
      <c r="C144" s="160" t="s">
        <v>219</v>
      </c>
      <c r="D144" s="54">
        <v>1976</v>
      </c>
      <c r="E144" s="55"/>
      <c r="F144" s="55" t="s">
        <v>24</v>
      </c>
      <c r="G144" s="55">
        <v>9</v>
      </c>
      <c r="H144" s="55">
        <v>3</v>
      </c>
      <c r="I144" s="41">
        <v>6521.8</v>
      </c>
      <c r="J144" s="41">
        <v>5790.4</v>
      </c>
      <c r="K144" s="41">
        <f>J144-348.7</f>
        <v>5441.7</v>
      </c>
      <c r="L144" s="106">
        <v>251</v>
      </c>
      <c r="M144" s="41">
        <v>8113601</v>
      </c>
      <c r="N144" s="41">
        <v>0</v>
      </c>
      <c r="O144" s="41">
        <v>0</v>
      </c>
      <c r="P144" s="41">
        <f t="shared" ref="P144:P177" si="17">M144</f>
        <v>8113601</v>
      </c>
      <c r="Q144" s="41">
        <v>0</v>
      </c>
      <c r="R144" s="41">
        <v>0</v>
      </c>
      <c r="S144" s="41">
        <f t="shared" ref="S144" si="18">M144/J144</f>
        <v>1401.2159781707655</v>
      </c>
      <c r="T144" s="53">
        <v>7920</v>
      </c>
      <c r="U144" s="90" t="s">
        <v>174</v>
      </c>
    </row>
    <row r="145" spans="2:21" s="44" customFormat="1" x14ac:dyDescent="0.25">
      <c r="B145" s="91">
        <v>2</v>
      </c>
      <c r="C145" s="160" t="s">
        <v>220</v>
      </c>
      <c r="D145" s="54">
        <v>1972</v>
      </c>
      <c r="E145" s="55"/>
      <c r="F145" s="55" t="s">
        <v>24</v>
      </c>
      <c r="G145" s="55">
        <v>5</v>
      </c>
      <c r="H145" s="55">
        <v>8</v>
      </c>
      <c r="I145" s="41">
        <v>6319.4</v>
      </c>
      <c r="J145" s="41">
        <v>5742.4</v>
      </c>
      <c r="K145" s="41">
        <f>J145-423-754.9</f>
        <v>4564.5</v>
      </c>
      <c r="L145" s="106">
        <v>266</v>
      </c>
      <c r="M145" s="53">
        <v>4268880</v>
      </c>
      <c r="N145" s="41">
        <v>0</v>
      </c>
      <c r="O145" s="41">
        <v>0</v>
      </c>
      <c r="P145" s="41">
        <f t="shared" si="17"/>
        <v>4268880</v>
      </c>
      <c r="Q145" s="41">
        <v>0</v>
      </c>
      <c r="R145" s="41">
        <v>0</v>
      </c>
      <c r="S145" s="41">
        <f t="shared" ref="S145" si="19">M145/J145</f>
        <v>743.39648927277801</v>
      </c>
      <c r="T145" s="53">
        <v>7920</v>
      </c>
      <c r="U145" s="90" t="s">
        <v>174</v>
      </c>
    </row>
    <row r="146" spans="2:21" s="44" customFormat="1" x14ac:dyDescent="0.25">
      <c r="B146" s="91">
        <v>3</v>
      </c>
      <c r="C146" s="160" t="s">
        <v>221</v>
      </c>
      <c r="D146" s="54">
        <v>1986</v>
      </c>
      <c r="E146" s="55"/>
      <c r="F146" s="55" t="s">
        <v>24</v>
      </c>
      <c r="G146" s="55">
        <v>12</v>
      </c>
      <c r="H146" s="55">
        <v>1</v>
      </c>
      <c r="I146" s="41">
        <v>5484.4</v>
      </c>
      <c r="J146" s="41">
        <v>3557.6</v>
      </c>
      <c r="K146" s="41">
        <f>J146-622.2</f>
        <v>2935.3999999999996</v>
      </c>
      <c r="L146" s="106">
        <v>172</v>
      </c>
      <c r="M146" s="41">
        <v>9089134</v>
      </c>
      <c r="N146" s="41">
        <v>0</v>
      </c>
      <c r="O146" s="41">
        <v>0</v>
      </c>
      <c r="P146" s="41">
        <f t="shared" si="17"/>
        <v>9089134</v>
      </c>
      <c r="Q146" s="41">
        <v>0</v>
      </c>
      <c r="R146" s="41">
        <v>0</v>
      </c>
      <c r="S146" s="41">
        <f t="shared" ref="S146" si="20">M146/J146</f>
        <v>2554.8498988081856</v>
      </c>
      <c r="T146" s="53">
        <v>7920</v>
      </c>
      <c r="U146" s="90" t="s">
        <v>174</v>
      </c>
    </row>
    <row r="147" spans="2:21" s="44" customFormat="1" x14ac:dyDescent="0.25">
      <c r="B147" s="89">
        <v>4</v>
      </c>
      <c r="C147" s="160" t="s">
        <v>222</v>
      </c>
      <c r="D147" s="54">
        <v>1983</v>
      </c>
      <c r="E147" s="55"/>
      <c r="F147" s="55" t="s">
        <v>24</v>
      </c>
      <c r="G147" s="55">
        <v>9</v>
      </c>
      <c r="H147" s="55">
        <v>9</v>
      </c>
      <c r="I147" s="41">
        <v>20254.5</v>
      </c>
      <c r="J147" s="41">
        <v>17871.5</v>
      </c>
      <c r="K147" s="41">
        <f>J147-933.3</f>
        <v>16938.2</v>
      </c>
      <c r="L147" s="106">
        <v>764</v>
      </c>
      <c r="M147" s="41">
        <v>20469466</v>
      </c>
      <c r="N147" s="41">
        <v>0</v>
      </c>
      <c r="O147" s="41">
        <v>0</v>
      </c>
      <c r="P147" s="41">
        <f t="shared" si="17"/>
        <v>20469466</v>
      </c>
      <c r="Q147" s="41">
        <v>0</v>
      </c>
      <c r="R147" s="41">
        <v>0</v>
      </c>
      <c r="S147" s="41">
        <f t="shared" ref="S147" si="21">M147/J147</f>
        <v>1145.3692191478051</v>
      </c>
      <c r="T147" s="53">
        <v>7920</v>
      </c>
      <c r="U147" s="90" t="s">
        <v>174</v>
      </c>
    </row>
    <row r="148" spans="2:21" s="44" customFormat="1" x14ac:dyDescent="0.25">
      <c r="B148" s="89">
        <v>5</v>
      </c>
      <c r="C148" s="160" t="s">
        <v>223</v>
      </c>
      <c r="D148" s="54">
        <v>1983</v>
      </c>
      <c r="E148" s="55"/>
      <c r="F148" s="55" t="s">
        <v>24</v>
      </c>
      <c r="G148" s="55">
        <v>9</v>
      </c>
      <c r="H148" s="55">
        <v>3</v>
      </c>
      <c r="I148" s="41">
        <v>8203.6</v>
      </c>
      <c r="J148" s="41">
        <v>5766.8</v>
      </c>
      <c r="K148" s="41">
        <f>J148-338.5</f>
        <v>5428.3</v>
      </c>
      <c r="L148" s="106">
        <v>251</v>
      </c>
      <c r="M148" s="41">
        <v>8216566</v>
      </c>
      <c r="N148" s="41">
        <v>0</v>
      </c>
      <c r="O148" s="41">
        <v>0</v>
      </c>
      <c r="P148" s="41">
        <f t="shared" si="17"/>
        <v>8216566</v>
      </c>
      <c r="Q148" s="41">
        <v>0</v>
      </c>
      <c r="R148" s="41">
        <v>0</v>
      </c>
      <c r="S148" s="41">
        <f t="shared" ref="S148" si="22">M148/J148</f>
        <v>1424.8050912117637</v>
      </c>
      <c r="T148" s="53">
        <v>7920</v>
      </c>
      <c r="U148" s="90" t="s">
        <v>174</v>
      </c>
    </row>
    <row r="149" spans="2:21" s="44" customFormat="1" x14ac:dyDescent="0.25">
      <c r="B149" s="89">
        <v>6</v>
      </c>
      <c r="C149" s="160" t="s">
        <v>189</v>
      </c>
      <c r="D149" s="54">
        <v>1975</v>
      </c>
      <c r="E149" s="55"/>
      <c r="F149" s="55" t="s">
        <v>24</v>
      </c>
      <c r="G149" s="55">
        <v>9</v>
      </c>
      <c r="H149" s="55">
        <v>3</v>
      </c>
      <c r="I149" s="41">
        <v>6622.5</v>
      </c>
      <c r="J149" s="41">
        <v>5860.2</v>
      </c>
      <c r="K149" s="41">
        <f>J149-244.4</f>
        <v>5615.8</v>
      </c>
      <c r="L149" s="106">
        <v>246</v>
      </c>
      <c r="M149" s="41">
        <v>2695344</v>
      </c>
      <c r="N149" s="41">
        <v>0</v>
      </c>
      <c r="O149" s="41">
        <v>0</v>
      </c>
      <c r="P149" s="41">
        <f t="shared" si="17"/>
        <v>2695344</v>
      </c>
      <c r="Q149" s="41">
        <v>0</v>
      </c>
      <c r="R149" s="41">
        <v>0</v>
      </c>
      <c r="S149" s="41">
        <f t="shared" ref="S149" si="23">M149/J149</f>
        <v>459.94061636121637</v>
      </c>
      <c r="T149" s="53">
        <v>7920</v>
      </c>
      <c r="U149" s="90" t="s">
        <v>174</v>
      </c>
    </row>
    <row r="150" spans="2:21" s="44" customFormat="1" x14ac:dyDescent="0.25">
      <c r="B150" s="91">
        <v>7</v>
      </c>
      <c r="C150" s="160" t="s">
        <v>224</v>
      </c>
      <c r="D150" s="54">
        <v>1981</v>
      </c>
      <c r="E150" s="55"/>
      <c r="F150" s="55" t="s">
        <v>24</v>
      </c>
      <c r="G150" s="55">
        <v>9</v>
      </c>
      <c r="H150" s="55">
        <v>8</v>
      </c>
      <c r="I150" s="41">
        <v>17591</v>
      </c>
      <c r="J150" s="41">
        <v>15698</v>
      </c>
      <c r="K150" s="41">
        <f>J150-579.1</f>
        <v>15118.9</v>
      </c>
      <c r="L150" s="106">
        <v>598</v>
      </c>
      <c r="M150" s="41">
        <v>5491877</v>
      </c>
      <c r="N150" s="41">
        <v>0</v>
      </c>
      <c r="O150" s="41">
        <v>0</v>
      </c>
      <c r="P150" s="41">
        <f t="shared" si="17"/>
        <v>5491877</v>
      </c>
      <c r="Q150" s="41">
        <v>0</v>
      </c>
      <c r="R150" s="41">
        <v>0</v>
      </c>
      <c r="S150" s="41">
        <f t="shared" ref="S150" si="24">M150/J150</f>
        <v>349.84564912727734</v>
      </c>
      <c r="T150" s="53">
        <v>7920</v>
      </c>
      <c r="U150" s="90" t="s">
        <v>174</v>
      </c>
    </row>
    <row r="151" spans="2:21" s="44" customFormat="1" x14ac:dyDescent="0.25">
      <c r="B151" s="91">
        <v>8</v>
      </c>
      <c r="C151" s="160" t="s">
        <v>225</v>
      </c>
      <c r="D151" s="54">
        <v>1959</v>
      </c>
      <c r="E151" s="55"/>
      <c r="F151" s="55" t="s">
        <v>25</v>
      </c>
      <c r="G151" s="55">
        <v>3</v>
      </c>
      <c r="H151" s="55">
        <v>2</v>
      </c>
      <c r="I151" s="41">
        <v>1012.8</v>
      </c>
      <c r="J151" s="41">
        <v>983.7</v>
      </c>
      <c r="K151" s="41">
        <f>J151-36.4</f>
        <v>947.30000000000007</v>
      </c>
      <c r="L151" s="106">
        <v>22</v>
      </c>
      <c r="M151" s="41">
        <v>1243453</v>
      </c>
      <c r="N151" s="41">
        <v>0</v>
      </c>
      <c r="O151" s="41">
        <v>0</v>
      </c>
      <c r="P151" s="41">
        <f t="shared" si="17"/>
        <v>1243453</v>
      </c>
      <c r="Q151" s="41">
        <v>0</v>
      </c>
      <c r="R151" s="41">
        <v>0</v>
      </c>
      <c r="S151" s="41">
        <f t="shared" ref="S151" si="25">M151/J151</f>
        <v>1264.057131239199</v>
      </c>
      <c r="T151" s="53">
        <v>7920</v>
      </c>
      <c r="U151" s="90" t="s">
        <v>174</v>
      </c>
    </row>
    <row r="152" spans="2:21" s="44" customFormat="1" x14ac:dyDescent="0.25">
      <c r="B152" s="89">
        <v>9</v>
      </c>
      <c r="C152" s="160" t="s">
        <v>226</v>
      </c>
      <c r="D152" s="54">
        <v>1954</v>
      </c>
      <c r="E152" s="55"/>
      <c r="F152" s="55" t="s">
        <v>25</v>
      </c>
      <c r="G152" s="55">
        <v>2</v>
      </c>
      <c r="H152" s="55">
        <v>2</v>
      </c>
      <c r="I152" s="41">
        <v>452.1</v>
      </c>
      <c r="J152" s="41">
        <v>408.9</v>
      </c>
      <c r="K152" s="41">
        <f>J152</f>
        <v>408.9</v>
      </c>
      <c r="L152" s="106">
        <v>27</v>
      </c>
      <c r="M152" s="53">
        <v>1219348</v>
      </c>
      <c r="N152" s="41">
        <v>0</v>
      </c>
      <c r="O152" s="41">
        <v>0</v>
      </c>
      <c r="P152" s="41">
        <f t="shared" si="17"/>
        <v>1219348</v>
      </c>
      <c r="Q152" s="41">
        <v>0</v>
      </c>
      <c r="R152" s="41">
        <v>0</v>
      </c>
      <c r="S152" s="41">
        <f t="shared" ref="S152" si="26">M152/J152</f>
        <v>2982.0200538028857</v>
      </c>
      <c r="T152" s="53">
        <v>7920</v>
      </c>
      <c r="U152" s="90" t="s">
        <v>174</v>
      </c>
    </row>
    <row r="153" spans="2:21" s="44" customFormat="1" x14ac:dyDescent="0.25">
      <c r="B153" s="89">
        <v>10</v>
      </c>
      <c r="C153" s="160" t="s">
        <v>227</v>
      </c>
      <c r="D153" s="54">
        <v>1961</v>
      </c>
      <c r="E153" s="55"/>
      <c r="F153" s="55" t="s">
        <v>25</v>
      </c>
      <c r="G153" s="55">
        <v>3</v>
      </c>
      <c r="H153" s="55">
        <v>2</v>
      </c>
      <c r="I153" s="41">
        <v>955.6</v>
      </c>
      <c r="J153" s="41">
        <v>926.7</v>
      </c>
      <c r="K153" s="41">
        <f>J153-82.9</f>
        <v>843.80000000000007</v>
      </c>
      <c r="L153" s="106">
        <v>28</v>
      </c>
      <c r="M153" s="53">
        <v>1772460</v>
      </c>
      <c r="N153" s="41">
        <v>0</v>
      </c>
      <c r="O153" s="41">
        <v>0</v>
      </c>
      <c r="P153" s="41">
        <f t="shared" si="17"/>
        <v>1772460</v>
      </c>
      <c r="Q153" s="41">
        <v>0</v>
      </c>
      <c r="R153" s="41">
        <v>0</v>
      </c>
      <c r="S153" s="41">
        <f t="shared" ref="S153" si="27">M153/J153</f>
        <v>1912.6578180640984</v>
      </c>
      <c r="T153" s="53">
        <v>7920</v>
      </c>
      <c r="U153" s="90" t="s">
        <v>174</v>
      </c>
    </row>
    <row r="154" spans="2:21" s="44" customFormat="1" x14ac:dyDescent="0.25">
      <c r="B154" s="89">
        <v>11</v>
      </c>
      <c r="C154" s="160" t="s">
        <v>228</v>
      </c>
      <c r="D154" s="54">
        <v>1958</v>
      </c>
      <c r="E154" s="55"/>
      <c r="F154" s="55" t="s">
        <v>25</v>
      </c>
      <c r="G154" s="55">
        <v>2</v>
      </c>
      <c r="H154" s="55">
        <v>2</v>
      </c>
      <c r="I154" s="41">
        <v>669.5</v>
      </c>
      <c r="J154" s="41">
        <v>625.1</v>
      </c>
      <c r="K154" s="41">
        <f>J154-84.26</f>
        <v>540.84</v>
      </c>
      <c r="L154" s="106">
        <v>29</v>
      </c>
      <c r="M154" s="41">
        <v>2699322</v>
      </c>
      <c r="N154" s="41">
        <v>0</v>
      </c>
      <c r="O154" s="41">
        <v>0</v>
      </c>
      <c r="P154" s="41">
        <f t="shared" si="17"/>
        <v>2699322</v>
      </c>
      <c r="Q154" s="41">
        <v>0</v>
      </c>
      <c r="R154" s="41">
        <v>0</v>
      </c>
      <c r="S154" s="41">
        <f t="shared" ref="S154" si="28">M154/J154</f>
        <v>4318.2242841145417</v>
      </c>
      <c r="T154" s="53">
        <v>7920</v>
      </c>
      <c r="U154" s="90" t="s">
        <v>174</v>
      </c>
    </row>
    <row r="155" spans="2:21" s="44" customFormat="1" x14ac:dyDescent="0.25">
      <c r="B155" s="91">
        <v>12</v>
      </c>
      <c r="C155" s="160" t="s">
        <v>229</v>
      </c>
      <c r="D155" s="54">
        <v>1961</v>
      </c>
      <c r="E155" s="55"/>
      <c r="F155" s="55" t="s">
        <v>25</v>
      </c>
      <c r="G155" s="55">
        <v>3</v>
      </c>
      <c r="H155" s="55">
        <v>2</v>
      </c>
      <c r="I155" s="41">
        <v>1096.8</v>
      </c>
      <c r="J155" s="41">
        <v>1003.5</v>
      </c>
      <c r="K155" s="41">
        <f>J155-94.8</f>
        <v>908.7</v>
      </c>
      <c r="L155" s="106">
        <v>29</v>
      </c>
      <c r="M155" s="53">
        <v>1863012</v>
      </c>
      <c r="N155" s="41">
        <v>0</v>
      </c>
      <c r="O155" s="41">
        <v>0</v>
      </c>
      <c r="P155" s="41">
        <f t="shared" si="17"/>
        <v>1863012</v>
      </c>
      <c r="Q155" s="41">
        <v>0</v>
      </c>
      <c r="R155" s="41">
        <v>0</v>
      </c>
      <c r="S155" s="41">
        <f t="shared" ref="S155" si="29">M155/J155</f>
        <v>1856.5142002989537</v>
      </c>
      <c r="T155" s="53">
        <v>7920</v>
      </c>
      <c r="U155" s="90" t="s">
        <v>174</v>
      </c>
    </row>
    <row r="156" spans="2:21" s="44" customFormat="1" x14ac:dyDescent="0.25">
      <c r="B156" s="91">
        <v>13</v>
      </c>
      <c r="C156" s="160" t="s">
        <v>230</v>
      </c>
      <c r="D156" s="54">
        <v>1965</v>
      </c>
      <c r="E156" s="55"/>
      <c r="F156" s="55" t="s">
        <v>24</v>
      </c>
      <c r="G156" s="55">
        <v>5</v>
      </c>
      <c r="H156" s="55">
        <v>4</v>
      </c>
      <c r="I156" s="41">
        <v>4175.1000000000004</v>
      </c>
      <c r="J156" s="41">
        <v>3580.9</v>
      </c>
      <c r="K156" s="41">
        <f>J156-70.8-213.7</f>
        <v>3296.4</v>
      </c>
      <c r="L156" s="106">
        <v>147</v>
      </c>
      <c r="M156" s="41">
        <v>5992284</v>
      </c>
      <c r="N156" s="41">
        <v>0</v>
      </c>
      <c r="O156" s="41">
        <v>0</v>
      </c>
      <c r="P156" s="41">
        <f t="shared" si="17"/>
        <v>5992284</v>
      </c>
      <c r="Q156" s="41">
        <v>0</v>
      </c>
      <c r="R156" s="41">
        <v>0</v>
      </c>
      <c r="S156" s="41">
        <f t="shared" ref="S156" si="30">M156/J156</f>
        <v>1673.4016588008601</v>
      </c>
      <c r="T156" s="53">
        <v>7920</v>
      </c>
      <c r="U156" s="90" t="s">
        <v>174</v>
      </c>
    </row>
    <row r="157" spans="2:21" s="44" customFormat="1" x14ac:dyDescent="0.25">
      <c r="B157" s="89">
        <v>14</v>
      </c>
      <c r="C157" s="160" t="s">
        <v>383</v>
      </c>
      <c r="D157" s="54">
        <v>1965</v>
      </c>
      <c r="E157" s="55"/>
      <c r="F157" s="55" t="s">
        <v>24</v>
      </c>
      <c r="G157" s="55">
        <v>5</v>
      </c>
      <c r="H157" s="55">
        <v>5</v>
      </c>
      <c r="I157" s="41">
        <v>3794.2</v>
      </c>
      <c r="J157" s="41">
        <v>3365.9</v>
      </c>
      <c r="K157" s="41">
        <f>J157</f>
        <v>3365.9</v>
      </c>
      <c r="L157" s="106">
        <v>120</v>
      </c>
      <c r="M157" s="53">
        <v>2668650</v>
      </c>
      <c r="N157" s="41">
        <v>0</v>
      </c>
      <c r="O157" s="41">
        <v>0</v>
      </c>
      <c r="P157" s="41">
        <f t="shared" si="17"/>
        <v>2668650</v>
      </c>
      <c r="Q157" s="41">
        <v>0</v>
      </c>
      <c r="R157" s="41">
        <v>0</v>
      </c>
      <c r="S157" s="41">
        <f t="shared" ref="S157" si="31">M157/J157</f>
        <v>792.84886657357617</v>
      </c>
      <c r="T157" s="53">
        <v>7920</v>
      </c>
      <c r="U157" s="90" t="s">
        <v>174</v>
      </c>
    </row>
    <row r="158" spans="2:21" s="44" customFormat="1" x14ac:dyDescent="0.25">
      <c r="B158" s="89">
        <v>15</v>
      </c>
      <c r="C158" s="160" t="s">
        <v>231</v>
      </c>
      <c r="D158" s="54">
        <v>1982</v>
      </c>
      <c r="E158" s="55"/>
      <c r="F158" s="55" t="s">
        <v>24</v>
      </c>
      <c r="G158" s="55">
        <v>9</v>
      </c>
      <c r="H158" s="55">
        <v>6</v>
      </c>
      <c r="I158" s="41">
        <v>13118.41</v>
      </c>
      <c r="J158" s="41">
        <v>11595.8</v>
      </c>
      <c r="K158" s="41">
        <f>J158-366.6</f>
        <v>11229.199999999999</v>
      </c>
      <c r="L158" s="106">
        <v>477</v>
      </c>
      <c r="M158" s="53">
        <v>4485650</v>
      </c>
      <c r="N158" s="41">
        <v>0</v>
      </c>
      <c r="O158" s="41">
        <v>0</v>
      </c>
      <c r="P158" s="41">
        <f t="shared" si="17"/>
        <v>4485650</v>
      </c>
      <c r="Q158" s="41">
        <v>0</v>
      </c>
      <c r="R158" s="41">
        <v>0</v>
      </c>
      <c r="S158" s="41">
        <f t="shared" ref="S158" si="32">M158/J158</f>
        <v>386.83402611290296</v>
      </c>
      <c r="T158" s="53">
        <v>7920</v>
      </c>
      <c r="U158" s="90" t="s">
        <v>174</v>
      </c>
    </row>
    <row r="159" spans="2:21" s="44" customFormat="1" x14ac:dyDescent="0.25">
      <c r="B159" s="89">
        <v>16</v>
      </c>
      <c r="C159" s="160" t="s">
        <v>232</v>
      </c>
      <c r="D159" s="54">
        <v>1992</v>
      </c>
      <c r="E159" s="55"/>
      <c r="F159" s="55" t="s">
        <v>25</v>
      </c>
      <c r="G159" s="55">
        <v>12</v>
      </c>
      <c r="H159" s="55">
        <v>1</v>
      </c>
      <c r="I159" s="41">
        <v>5457.1</v>
      </c>
      <c r="J159" s="41">
        <v>3864.1</v>
      </c>
      <c r="K159" s="41">
        <f>J159-45.3</f>
        <v>3818.7999999999997</v>
      </c>
      <c r="L159" s="106">
        <v>168</v>
      </c>
      <c r="M159" s="53">
        <v>1321814</v>
      </c>
      <c r="N159" s="41">
        <v>0</v>
      </c>
      <c r="O159" s="41">
        <v>0</v>
      </c>
      <c r="P159" s="41">
        <f t="shared" si="17"/>
        <v>1321814</v>
      </c>
      <c r="Q159" s="41">
        <v>0</v>
      </c>
      <c r="R159" s="41">
        <v>0</v>
      </c>
      <c r="S159" s="41">
        <f t="shared" ref="S159" si="33">M159/J159</f>
        <v>342.07551564400507</v>
      </c>
      <c r="T159" s="53">
        <v>7920</v>
      </c>
      <c r="U159" s="90" t="s">
        <v>174</v>
      </c>
    </row>
    <row r="160" spans="2:21" s="44" customFormat="1" x14ac:dyDescent="0.25">
      <c r="B160" s="91">
        <v>17</v>
      </c>
      <c r="C160" s="160" t="s">
        <v>233</v>
      </c>
      <c r="D160" s="54">
        <v>1917</v>
      </c>
      <c r="E160" s="55"/>
      <c r="F160" s="55" t="s">
        <v>25</v>
      </c>
      <c r="G160" s="55">
        <v>3</v>
      </c>
      <c r="H160" s="55">
        <v>1</v>
      </c>
      <c r="I160" s="41">
        <v>460.1</v>
      </c>
      <c r="J160" s="41">
        <v>420.1</v>
      </c>
      <c r="K160" s="41">
        <v>420.1</v>
      </c>
      <c r="L160" s="106">
        <v>11</v>
      </c>
      <c r="M160" s="41">
        <v>857904</v>
      </c>
      <c r="N160" s="41">
        <v>0</v>
      </c>
      <c r="O160" s="41">
        <v>0</v>
      </c>
      <c r="P160" s="41">
        <f t="shared" si="17"/>
        <v>857904</v>
      </c>
      <c r="Q160" s="41">
        <v>0</v>
      </c>
      <c r="R160" s="41">
        <v>0</v>
      </c>
      <c r="S160" s="41">
        <f t="shared" ref="S160:S161" si="34">M160/J160</f>
        <v>2042.1423470602238</v>
      </c>
      <c r="T160" s="53">
        <v>7920</v>
      </c>
      <c r="U160" s="90" t="s">
        <v>174</v>
      </c>
    </row>
    <row r="161" spans="2:21" s="44" customFormat="1" x14ac:dyDescent="0.25">
      <c r="B161" s="91">
        <v>18</v>
      </c>
      <c r="C161" s="161" t="s">
        <v>234</v>
      </c>
      <c r="D161" s="54">
        <v>1917</v>
      </c>
      <c r="E161" s="55"/>
      <c r="F161" s="55" t="s">
        <v>25</v>
      </c>
      <c r="G161" s="55">
        <v>3</v>
      </c>
      <c r="H161" s="55">
        <v>2</v>
      </c>
      <c r="I161" s="41">
        <v>483.6</v>
      </c>
      <c r="J161" s="41">
        <v>410</v>
      </c>
      <c r="K161" s="41">
        <f>J161</f>
        <v>410</v>
      </c>
      <c r="L161" s="106">
        <v>15</v>
      </c>
      <c r="M161" s="41">
        <v>1752447</v>
      </c>
      <c r="N161" s="41">
        <v>0</v>
      </c>
      <c r="O161" s="41">
        <v>0</v>
      </c>
      <c r="P161" s="41">
        <f t="shared" si="17"/>
        <v>1752447</v>
      </c>
      <c r="Q161" s="41">
        <v>0</v>
      </c>
      <c r="R161" s="41">
        <v>0</v>
      </c>
      <c r="S161" s="41">
        <f t="shared" si="34"/>
        <v>4274.2609756097563</v>
      </c>
      <c r="T161" s="53">
        <v>7920</v>
      </c>
      <c r="U161" s="90" t="s">
        <v>174</v>
      </c>
    </row>
    <row r="162" spans="2:21" s="44" customFormat="1" x14ac:dyDescent="0.25">
      <c r="B162" s="89">
        <v>19</v>
      </c>
      <c r="C162" s="160" t="s">
        <v>235</v>
      </c>
      <c r="D162" s="54">
        <v>1987</v>
      </c>
      <c r="E162" s="55"/>
      <c r="F162" s="55" t="s">
        <v>24</v>
      </c>
      <c r="G162" s="55">
        <v>9</v>
      </c>
      <c r="H162" s="55">
        <v>2</v>
      </c>
      <c r="I162" s="41">
        <v>4885.6000000000004</v>
      </c>
      <c r="J162" s="41">
        <v>3886.3</v>
      </c>
      <c r="K162" s="41">
        <f>J162-118.1</f>
        <v>3768.2000000000003</v>
      </c>
      <c r="L162" s="106">
        <v>205</v>
      </c>
      <c r="M162" s="41">
        <v>5583850</v>
      </c>
      <c r="N162" s="41">
        <v>0</v>
      </c>
      <c r="O162" s="41">
        <v>0</v>
      </c>
      <c r="P162" s="41">
        <f t="shared" si="17"/>
        <v>5583850</v>
      </c>
      <c r="Q162" s="41">
        <v>0</v>
      </c>
      <c r="R162" s="41">
        <v>0</v>
      </c>
      <c r="S162" s="41">
        <f t="shared" ref="S162" si="35">M162/J162</f>
        <v>1436.8036435684326</v>
      </c>
      <c r="T162" s="53">
        <v>7920</v>
      </c>
      <c r="U162" s="90" t="s">
        <v>174</v>
      </c>
    </row>
    <row r="163" spans="2:21" s="44" customFormat="1" x14ac:dyDescent="0.25">
      <c r="B163" s="89">
        <v>20</v>
      </c>
      <c r="C163" s="161" t="s">
        <v>236</v>
      </c>
      <c r="D163" s="54">
        <v>1999</v>
      </c>
      <c r="E163" s="55"/>
      <c r="F163" s="55" t="s">
        <v>25</v>
      </c>
      <c r="G163" s="55">
        <v>5</v>
      </c>
      <c r="H163" s="55">
        <v>3</v>
      </c>
      <c r="I163" s="41">
        <v>3561.6</v>
      </c>
      <c r="J163" s="41">
        <v>3046</v>
      </c>
      <c r="K163" s="41">
        <f>J163-670.6</f>
        <v>2375.4</v>
      </c>
      <c r="L163" s="106">
        <v>51</v>
      </c>
      <c r="M163" s="53">
        <v>2509708</v>
      </c>
      <c r="N163" s="41">
        <v>0</v>
      </c>
      <c r="O163" s="41">
        <v>0</v>
      </c>
      <c r="P163" s="41">
        <f t="shared" si="17"/>
        <v>2509708</v>
      </c>
      <c r="Q163" s="41">
        <v>0</v>
      </c>
      <c r="R163" s="41">
        <v>0</v>
      </c>
      <c r="S163" s="41">
        <f t="shared" ref="S163" si="36">M163/J163</f>
        <v>823.93565331582408</v>
      </c>
      <c r="T163" s="53">
        <v>7920</v>
      </c>
      <c r="U163" s="90" t="s">
        <v>174</v>
      </c>
    </row>
    <row r="164" spans="2:21" s="44" customFormat="1" x14ac:dyDescent="0.25">
      <c r="B164" s="89">
        <v>21</v>
      </c>
      <c r="C164" s="162" t="s">
        <v>237</v>
      </c>
      <c r="D164" s="54">
        <v>1988</v>
      </c>
      <c r="E164" s="55"/>
      <c r="F164" s="55" t="s">
        <v>47</v>
      </c>
      <c r="G164" s="55">
        <v>9</v>
      </c>
      <c r="H164" s="55">
        <v>4</v>
      </c>
      <c r="I164" s="41">
        <v>9018.9</v>
      </c>
      <c r="J164" s="41">
        <v>8108.1</v>
      </c>
      <c r="K164" s="41">
        <f>J164-320.1-456.5</f>
        <v>7331.5</v>
      </c>
      <c r="L164" s="106">
        <v>432</v>
      </c>
      <c r="M164" s="41">
        <v>7853029</v>
      </c>
      <c r="N164" s="41">
        <v>0</v>
      </c>
      <c r="O164" s="41">
        <v>0</v>
      </c>
      <c r="P164" s="41">
        <f t="shared" si="17"/>
        <v>7853029</v>
      </c>
      <c r="Q164" s="41">
        <v>0</v>
      </c>
      <c r="R164" s="41">
        <v>0</v>
      </c>
      <c r="S164" s="41">
        <f t="shared" ref="S164:S168" si="37">M164/J164</f>
        <v>968.54121187454518</v>
      </c>
      <c r="T164" s="53">
        <v>7920</v>
      </c>
      <c r="U164" s="90" t="s">
        <v>174</v>
      </c>
    </row>
    <row r="165" spans="2:21" s="44" customFormat="1" x14ac:dyDescent="0.25">
      <c r="B165" s="91">
        <v>22</v>
      </c>
      <c r="C165" s="194" t="s">
        <v>393</v>
      </c>
      <c r="D165" s="54">
        <v>1959</v>
      </c>
      <c r="E165" s="55"/>
      <c r="F165" s="55" t="s">
        <v>25</v>
      </c>
      <c r="G165" s="55">
        <v>2</v>
      </c>
      <c r="H165" s="55">
        <v>2</v>
      </c>
      <c r="I165" s="41">
        <v>681.5</v>
      </c>
      <c r="J165" s="41">
        <v>632.1</v>
      </c>
      <c r="K165" s="41">
        <f>J165-42.5</f>
        <v>589.6</v>
      </c>
      <c r="L165" s="106">
        <v>28</v>
      </c>
      <c r="M165" s="41">
        <v>1740599</v>
      </c>
      <c r="N165" s="41">
        <v>0</v>
      </c>
      <c r="O165" s="41">
        <v>0</v>
      </c>
      <c r="P165" s="41">
        <f t="shared" si="17"/>
        <v>1740599</v>
      </c>
      <c r="Q165" s="41">
        <v>0</v>
      </c>
      <c r="R165" s="41">
        <v>0</v>
      </c>
      <c r="S165" s="41">
        <f t="shared" si="37"/>
        <v>2753.6766334440754</v>
      </c>
      <c r="T165" s="53">
        <v>7920</v>
      </c>
      <c r="U165" s="90" t="s">
        <v>174</v>
      </c>
    </row>
    <row r="166" spans="2:21" s="44" customFormat="1" x14ac:dyDescent="0.25">
      <c r="B166" s="91">
        <v>23</v>
      </c>
      <c r="C166" s="161" t="s">
        <v>238</v>
      </c>
      <c r="D166" s="54">
        <v>1967</v>
      </c>
      <c r="E166" s="55"/>
      <c r="F166" s="55" t="s">
        <v>24</v>
      </c>
      <c r="G166" s="55">
        <v>5</v>
      </c>
      <c r="H166" s="55">
        <v>3</v>
      </c>
      <c r="I166" s="41">
        <v>2789.8</v>
      </c>
      <c r="J166" s="41">
        <v>2568.3000000000002</v>
      </c>
      <c r="K166" s="41">
        <f>J166-186.2</f>
        <v>2382.1000000000004</v>
      </c>
      <c r="L166" s="106">
        <v>73</v>
      </c>
      <c r="M166" s="41">
        <v>2660743</v>
      </c>
      <c r="N166" s="41">
        <v>0</v>
      </c>
      <c r="O166" s="41">
        <v>0</v>
      </c>
      <c r="P166" s="41">
        <f t="shared" si="17"/>
        <v>2660743</v>
      </c>
      <c r="Q166" s="41">
        <v>0</v>
      </c>
      <c r="R166" s="41">
        <v>0</v>
      </c>
      <c r="S166" s="41">
        <f t="shared" si="37"/>
        <v>1035.9938480707083</v>
      </c>
      <c r="T166" s="53">
        <v>7920</v>
      </c>
      <c r="U166" s="90" t="s">
        <v>174</v>
      </c>
    </row>
    <row r="167" spans="2:21" s="44" customFormat="1" x14ac:dyDescent="0.25">
      <c r="B167" s="89">
        <v>24</v>
      </c>
      <c r="C167" s="161" t="s">
        <v>239</v>
      </c>
      <c r="D167" s="54">
        <v>1984</v>
      </c>
      <c r="E167" s="55"/>
      <c r="F167" s="55" t="s">
        <v>25</v>
      </c>
      <c r="G167" s="55">
        <v>9</v>
      </c>
      <c r="H167" s="55">
        <v>2</v>
      </c>
      <c r="I167" s="41">
        <v>4752.3</v>
      </c>
      <c r="J167" s="41">
        <v>3940.6</v>
      </c>
      <c r="K167" s="41">
        <f>J167-243.1-220.5</f>
        <v>3477</v>
      </c>
      <c r="L167" s="106">
        <v>231</v>
      </c>
      <c r="M167" s="41">
        <v>3901362</v>
      </c>
      <c r="N167" s="41">
        <v>0</v>
      </c>
      <c r="O167" s="41">
        <v>0</v>
      </c>
      <c r="P167" s="41">
        <f t="shared" si="17"/>
        <v>3901362</v>
      </c>
      <c r="Q167" s="41">
        <v>0</v>
      </c>
      <c r="R167" s="41">
        <v>0</v>
      </c>
      <c r="S167" s="41">
        <f t="shared" si="37"/>
        <v>990.04263310155818</v>
      </c>
      <c r="T167" s="53">
        <v>7920</v>
      </c>
      <c r="U167" s="90" t="s">
        <v>174</v>
      </c>
    </row>
    <row r="168" spans="2:21" s="44" customFormat="1" x14ac:dyDescent="0.25">
      <c r="B168" s="89">
        <v>25</v>
      </c>
      <c r="C168" s="160" t="s">
        <v>240</v>
      </c>
      <c r="D168" s="54">
        <v>1991</v>
      </c>
      <c r="E168" s="55"/>
      <c r="F168" s="55" t="s">
        <v>24</v>
      </c>
      <c r="G168" s="55">
        <v>10</v>
      </c>
      <c r="H168" s="55">
        <v>4</v>
      </c>
      <c r="I168" s="41">
        <v>9709.2999999999993</v>
      </c>
      <c r="J168" s="41">
        <v>8598.2999999999993</v>
      </c>
      <c r="K168" s="41">
        <f>J168-464.7</f>
        <v>8133.5999999999995</v>
      </c>
      <c r="L168" s="106">
        <v>293</v>
      </c>
      <c r="M168" s="41">
        <v>7863840</v>
      </c>
      <c r="N168" s="41">
        <v>0</v>
      </c>
      <c r="O168" s="41">
        <v>0</v>
      </c>
      <c r="P168" s="41">
        <f t="shared" si="17"/>
        <v>7863840</v>
      </c>
      <c r="Q168" s="41">
        <v>0</v>
      </c>
      <c r="R168" s="41">
        <v>0</v>
      </c>
      <c r="S168" s="41">
        <f t="shared" si="37"/>
        <v>914.58078922577727</v>
      </c>
      <c r="T168" s="53">
        <v>7920</v>
      </c>
      <c r="U168" s="90" t="s">
        <v>174</v>
      </c>
    </row>
    <row r="169" spans="2:21" s="44" customFormat="1" x14ac:dyDescent="0.25">
      <c r="B169" s="89">
        <v>26</v>
      </c>
      <c r="C169" s="161" t="s">
        <v>241</v>
      </c>
      <c r="D169" s="54">
        <v>1992</v>
      </c>
      <c r="E169" s="55"/>
      <c r="F169" s="55" t="s">
        <v>24</v>
      </c>
      <c r="G169" s="55">
        <v>10</v>
      </c>
      <c r="H169" s="55">
        <v>4</v>
      </c>
      <c r="I169" s="41">
        <v>10086.799999999999</v>
      </c>
      <c r="J169" s="41">
        <v>9077.1</v>
      </c>
      <c r="K169" s="41">
        <f>J169-229.9</f>
        <v>8847.2000000000007</v>
      </c>
      <c r="L169" s="106">
        <v>378</v>
      </c>
      <c r="M169" s="53">
        <v>5583213</v>
      </c>
      <c r="N169" s="41">
        <v>0</v>
      </c>
      <c r="O169" s="41">
        <v>0</v>
      </c>
      <c r="P169" s="41">
        <f t="shared" si="17"/>
        <v>5583213</v>
      </c>
      <c r="Q169" s="41">
        <v>0</v>
      </c>
      <c r="R169" s="41">
        <v>0</v>
      </c>
      <c r="S169" s="41">
        <f t="shared" ref="S169" si="38">M169/J169</f>
        <v>615.08774828965193</v>
      </c>
      <c r="T169" s="53">
        <v>7920</v>
      </c>
      <c r="U169" s="90" t="s">
        <v>174</v>
      </c>
    </row>
    <row r="170" spans="2:21" s="44" customFormat="1" x14ac:dyDescent="0.25">
      <c r="B170" s="91">
        <v>27</v>
      </c>
      <c r="C170" s="160" t="s">
        <v>242</v>
      </c>
      <c r="D170" s="54">
        <v>1964</v>
      </c>
      <c r="E170" s="55"/>
      <c r="F170" s="55" t="s">
        <v>25</v>
      </c>
      <c r="G170" s="55">
        <v>4</v>
      </c>
      <c r="H170" s="55">
        <v>2</v>
      </c>
      <c r="I170" s="41">
        <v>1397.3</v>
      </c>
      <c r="J170" s="41">
        <v>1269.3</v>
      </c>
      <c r="K170" s="41">
        <f>J170-42</f>
        <v>1227.3</v>
      </c>
      <c r="L170" s="106">
        <v>37</v>
      </c>
      <c r="M170" s="41">
        <v>1750958</v>
      </c>
      <c r="N170" s="41">
        <v>0</v>
      </c>
      <c r="O170" s="41">
        <v>0</v>
      </c>
      <c r="P170" s="41">
        <f t="shared" si="17"/>
        <v>1750958</v>
      </c>
      <c r="Q170" s="41">
        <v>0</v>
      </c>
      <c r="R170" s="41">
        <v>0</v>
      </c>
      <c r="S170" s="41">
        <f t="shared" ref="S170" si="39">M170/J170</f>
        <v>1379.4674229890491</v>
      </c>
      <c r="T170" s="53">
        <v>7920</v>
      </c>
      <c r="U170" s="90" t="s">
        <v>174</v>
      </c>
    </row>
    <row r="171" spans="2:21" s="44" customFormat="1" x14ac:dyDescent="0.25">
      <c r="B171" s="91">
        <v>28</v>
      </c>
      <c r="C171" s="161" t="s">
        <v>243</v>
      </c>
      <c r="D171" s="54">
        <v>1957</v>
      </c>
      <c r="E171" s="55"/>
      <c r="F171" s="55" t="s">
        <v>25</v>
      </c>
      <c r="G171" s="55">
        <v>4</v>
      </c>
      <c r="H171" s="55">
        <v>4</v>
      </c>
      <c r="I171" s="41">
        <v>3227.8</v>
      </c>
      <c r="J171" s="41">
        <v>2862.5</v>
      </c>
      <c r="K171" s="41">
        <f>J171-316.3</f>
        <v>2546.1999999999998</v>
      </c>
      <c r="L171" s="106">
        <v>60</v>
      </c>
      <c r="M171" s="53">
        <v>2142218</v>
      </c>
      <c r="N171" s="41">
        <v>0</v>
      </c>
      <c r="O171" s="41">
        <v>0</v>
      </c>
      <c r="P171" s="41">
        <f t="shared" si="17"/>
        <v>2142218</v>
      </c>
      <c r="Q171" s="41">
        <v>0</v>
      </c>
      <c r="R171" s="41">
        <v>0</v>
      </c>
      <c r="S171" s="41">
        <f t="shared" ref="S171" si="40">M171/J171</f>
        <v>748.37310043668117</v>
      </c>
      <c r="T171" s="53">
        <v>7920</v>
      </c>
      <c r="U171" s="90" t="s">
        <v>174</v>
      </c>
    </row>
    <row r="172" spans="2:21" s="44" customFormat="1" x14ac:dyDescent="0.25">
      <c r="B172" s="89">
        <v>29</v>
      </c>
      <c r="C172" s="160" t="s">
        <v>244</v>
      </c>
      <c r="D172" s="54">
        <v>1969</v>
      </c>
      <c r="E172" s="55"/>
      <c r="F172" s="55" t="s">
        <v>24</v>
      </c>
      <c r="G172" s="55">
        <v>5</v>
      </c>
      <c r="H172" s="55">
        <v>6</v>
      </c>
      <c r="I172" s="41">
        <v>4832.5</v>
      </c>
      <c r="J172" s="41">
        <v>4390.6000000000004</v>
      </c>
      <c r="K172" s="41">
        <f>J172-106.8-208.5</f>
        <v>4075.3</v>
      </c>
      <c r="L172" s="106">
        <v>200</v>
      </c>
      <c r="M172" s="53">
        <v>2741799</v>
      </c>
      <c r="N172" s="41">
        <v>0</v>
      </c>
      <c r="O172" s="41">
        <v>0</v>
      </c>
      <c r="P172" s="41">
        <f t="shared" si="17"/>
        <v>2741799</v>
      </c>
      <c r="Q172" s="41">
        <v>0</v>
      </c>
      <c r="R172" s="41">
        <v>0</v>
      </c>
      <c r="S172" s="41">
        <f t="shared" ref="S172" si="41">M172/J172</f>
        <v>624.47023185897137</v>
      </c>
      <c r="T172" s="53">
        <v>7920</v>
      </c>
      <c r="U172" s="90" t="s">
        <v>174</v>
      </c>
    </row>
    <row r="173" spans="2:21" s="44" customFormat="1" x14ac:dyDescent="0.25">
      <c r="B173" s="89">
        <v>30</v>
      </c>
      <c r="C173" s="161" t="s">
        <v>245</v>
      </c>
      <c r="D173" s="54">
        <v>1975</v>
      </c>
      <c r="E173" s="55"/>
      <c r="F173" s="55" t="s">
        <v>24</v>
      </c>
      <c r="G173" s="55">
        <v>9</v>
      </c>
      <c r="H173" s="55">
        <v>1</v>
      </c>
      <c r="I173" s="41">
        <v>8834</v>
      </c>
      <c r="J173" s="41">
        <v>7954.1</v>
      </c>
      <c r="K173" s="41">
        <f>J173-1012.9</f>
        <v>6941.2000000000007</v>
      </c>
      <c r="L173" s="106">
        <v>682</v>
      </c>
      <c r="M173" s="41">
        <v>1973396</v>
      </c>
      <c r="N173" s="41">
        <v>0</v>
      </c>
      <c r="O173" s="41">
        <v>0</v>
      </c>
      <c r="P173" s="41">
        <f t="shared" si="17"/>
        <v>1973396</v>
      </c>
      <c r="Q173" s="41">
        <v>0</v>
      </c>
      <c r="R173" s="41">
        <v>0</v>
      </c>
      <c r="S173" s="41">
        <f t="shared" ref="S173" si="42">M173/J173</f>
        <v>248.09796205730376</v>
      </c>
      <c r="T173" s="53">
        <v>7920</v>
      </c>
      <c r="U173" s="90" t="s">
        <v>174</v>
      </c>
    </row>
    <row r="174" spans="2:21" s="44" customFormat="1" x14ac:dyDescent="0.25">
      <c r="B174" s="89">
        <v>31</v>
      </c>
      <c r="C174" s="160" t="s">
        <v>246</v>
      </c>
      <c r="D174" s="54">
        <v>1980</v>
      </c>
      <c r="E174" s="55"/>
      <c r="F174" s="55" t="s">
        <v>25</v>
      </c>
      <c r="G174" s="55">
        <v>5</v>
      </c>
      <c r="H174" s="55">
        <v>9</v>
      </c>
      <c r="I174" s="41">
        <v>6836.9</v>
      </c>
      <c r="J174" s="41">
        <v>6211.3</v>
      </c>
      <c r="K174" s="41">
        <f>J174-285.2</f>
        <v>5926.1</v>
      </c>
      <c r="L174" s="106">
        <v>283</v>
      </c>
      <c r="M174" s="41">
        <v>4937485</v>
      </c>
      <c r="N174" s="41">
        <v>0</v>
      </c>
      <c r="O174" s="41">
        <v>0</v>
      </c>
      <c r="P174" s="41">
        <f t="shared" si="17"/>
        <v>4937485</v>
      </c>
      <c r="Q174" s="41">
        <v>0</v>
      </c>
      <c r="R174" s="41">
        <v>0</v>
      </c>
      <c r="S174" s="41">
        <f t="shared" ref="S174" si="43">M174/J174</f>
        <v>794.91974304895916</v>
      </c>
      <c r="T174" s="53">
        <v>7920</v>
      </c>
      <c r="U174" s="90" t="s">
        <v>174</v>
      </c>
    </row>
    <row r="175" spans="2:21" s="44" customFormat="1" x14ac:dyDescent="0.25">
      <c r="B175" s="91">
        <v>32</v>
      </c>
      <c r="C175" s="160" t="s">
        <v>247</v>
      </c>
      <c r="D175" s="54">
        <v>1979</v>
      </c>
      <c r="E175" s="55"/>
      <c r="F175" s="55" t="s">
        <v>24</v>
      </c>
      <c r="G175" s="55">
        <v>9</v>
      </c>
      <c r="H175" s="55">
        <v>2</v>
      </c>
      <c r="I175" s="41">
        <v>4386.8</v>
      </c>
      <c r="J175" s="41">
        <v>3853.3</v>
      </c>
      <c r="K175" s="41">
        <f>J175-277.2</f>
        <v>3576.1000000000004</v>
      </c>
      <c r="L175" s="106">
        <v>153</v>
      </c>
      <c r="M175" s="41">
        <v>3898090</v>
      </c>
      <c r="N175" s="41">
        <v>0</v>
      </c>
      <c r="O175" s="41">
        <v>0</v>
      </c>
      <c r="P175" s="41">
        <f t="shared" si="17"/>
        <v>3898090</v>
      </c>
      <c r="Q175" s="41">
        <v>0</v>
      </c>
      <c r="R175" s="41">
        <v>0</v>
      </c>
      <c r="S175" s="41">
        <f t="shared" ref="S175:S177" si="44">M175/J175</f>
        <v>1011.6238029740741</v>
      </c>
      <c r="T175" s="53">
        <v>7920</v>
      </c>
      <c r="U175" s="90" t="s">
        <v>174</v>
      </c>
    </row>
    <row r="176" spans="2:21" s="44" customFormat="1" x14ac:dyDescent="0.25">
      <c r="B176" s="91">
        <v>33</v>
      </c>
      <c r="C176" s="161" t="s">
        <v>248</v>
      </c>
      <c r="D176" s="54">
        <v>1968</v>
      </c>
      <c r="E176" s="55"/>
      <c r="F176" s="55" t="s">
        <v>25</v>
      </c>
      <c r="G176" s="55">
        <v>5</v>
      </c>
      <c r="H176" s="55">
        <v>6</v>
      </c>
      <c r="I176" s="41">
        <v>5005.84</v>
      </c>
      <c r="J176" s="41">
        <v>4481.1400000000003</v>
      </c>
      <c r="K176" s="41">
        <f>J176-283.3</f>
        <v>4197.84</v>
      </c>
      <c r="L176" s="106">
        <v>239</v>
      </c>
      <c r="M176" s="53">
        <v>3094009</v>
      </c>
      <c r="N176" s="41">
        <v>0</v>
      </c>
      <c r="O176" s="41">
        <v>0</v>
      </c>
      <c r="P176" s="41">
        <f t="shared" si="17"/>
        <v>3094009</v>
      </c>
      <c r="Q176" s="41">
        <v>0</v>
      </c>
      <c r="R176" s="41">
        <v>0</v>
      </c>
      <c r="S176" s="41">
        <f t="shared" si="44"/>
        <v>690.45131372820299</v>
      </c>
      <c r="T176" s="53">
        <v>7920</v>
      </c>
      <c r="U176" s="90" t="s">
        <v>174</v>
      </c>
    </row>
    <row r="177" spans="2:21" s="44" customFormat="1" x14ac:dyDescent="0.25">
      <c r="B177" s="89">
        <v>34</v>
      </c>
      <c r="C177" s="195" t="s">
        <v>394</v>
      </c>
      <c r="D177" s="54">
        <v>1977</v>
      </c>
      <c r="E177" s="55"/>
      <c r="F177" s="55" t="s">
        <v>24</v>
      </c>
      <c r="G177" s="55">
        <v>5</v>
      </c>
      <c r="H177" s="55">
        <v>8</v>
      </c>
      <c r="I177" s="41">
        <v>6576.5</v>
      </c>
      <c r="J177" s="41">
        <v>6001.8</v>
      </c>
      <c r="K177" s="41">
        <f>J177-96.5</f>
        <v>5905.3</v>
      </c>
      <c r="L177" s="106">
        <v>129</v>
      </c>
      <c r="M177" s="53">
        <v>5209814</v>
      </c>
      <c r="N177" s="41">
        <v>0</v>
      </c>
      <c r="O177" s="41">
        <v>0</v>
      </c>
      <c r="P177" s="41">
        <f t="shared" si="17"/>
        <v>5209814</v>
      </c>
      <c r="Q177" s="41">
        <v>0</v>
      </c>
      <c r="R177" s="41">
        <v>0</v>
      </c>
      <c r="S177" s="41">
        <f t="shared" si="44"/>
        <v>868.04192075710614</v>
      </c>
      <c r="T177" s="53">
        <v>7920</v>
      </c>
      <c r="U177" s="90" t="s">
        <v>174</v>
      </c>
    </row>
    <row r="178" spans="2:21" s="44" customFormat="1" x14ac:dyDescent="0.25">
      <c r="B178" s="89">
        <v>35</v>
      </c>
      <c r="C178" s="161" t="s">
        <v>249</v>
      </c>
      <c r="D178" s="54">
        <v>1955</v>
      </c>
      <c r="E178" s="55"/>
      <c r="F178" s="55" t="s">
        <v>25</v>
      </c>
      <c r="G178" s="55">
        <v>2</v>
      </c>
      <c r="H178" s="55">
        <v>2</v>
      </c>
      <c r="I178" s="41">
        <v>623.79999999999995</v>
      </c>
      <c r="J178" s="41">
        <v>577.70000000000005</v>
      </c>
      <c r="K178" s="41">
        <f>J178-119.7</f>
        <v>458.00000000000006</v>
      </c>
      <c r="L178" s="106">
        <v>17</v>
      </c>
      <c r="M178" s="41">
        <v>2900664</v>
      </c>
      <c r="N178" s="41">
        <v>0</v>
      </c>
      <c r="O178" s="41">
        <v>0</v>
      </c>
      <c r="P178" s="41">
        <f t="shared" ref="P178:P211" si="45">M178</f>
        <v>2900664</v>
      </c>
      <c r="Q178" s="41">
        <v>0</v>
      </c>
      <c r="R178" s="41">
        <v>0</v>
      </c>
      <c r="S178" s="41">
        <f t="shared" ref="S178" si="46">M178/J178</f>
        <v>5021.055911372684</v>
      </c>
      <c r="T178" s="53">
        <v>7920</v>
      </c>
      <c r="U178" s="90" t="s">
        <v>174</v>
      </c>
    </row>
    <row r="179" spans="2:21" s="44" customFormat="1" x14ac:dyDescent="0.25">
      <c r="B179" s="89">
        <v>36</v>
      </c>
      <c r="C179" s="161" t="s">
        <v>250</v>
      </c>
      <c r="D179" s="54">
        <v>1965</v>
      </c>
      <c r="E179" s="55"/>
      <c r="F179" s="55" t="s">
        <v>25</v>
      </c>
      <c r="G179" s="55">
        <v>5</v>
      </c>
      <c r="H179" s="55">
        <v>4</v>
      </c>
      <c r="I179" s="41">
        <v>4172.8</v>
      </c>
      <c r="J179" s="41">
        <v>3897.3</v>
      </c>
      <c r="K179" s="41">
        <f>J179-1361.8-84.2</f>
        <v>2451.3000000000002</v>
      </c>
      <c r="L179" s="106">
        <v>132</v>
      </c>
      <c r="M179" s="53">
        <v>1647592</v>
      </c>
      <c r="N179" s="41">
        <v>0</v>
      </c>
      <c r="O179" s="41">
        <v>0</v>
      </c>
      <c r="P179" s="41">
        <f t="shared" si="45"/>
        <v>1647592</v>
      </c>
      <c r="Q179" s="41">
        <v>0</v>
      </c>
      <c r="R179" s="41">
        <v>0</v>
      </c>
      <c r="S179" s="41">
        <f t="shared" ref="S179" si="47">M179/J179</f>
        <v>422.75216175300847</v>
      </c>
      <c r="T179" s="53">
        <v>7920</v>
      </c>
      <c r="U179" s="90" t="s">
        <v>174</v>
      </c>
    </row>
    <row r="180" spans="2:21" s="44" customFormat="1" x14ac:dyDescent="0.25">
      <c r="B180" s="91">
        <v>37</v>
      </c>
      <c r="C180" s="161" t="s">
        <v>251</v>
      </c>
      <c r="D180" s="54">
        <v>1967</v>
      </c>
      <c r="E180" s="55"/>
      <c r="F180" s="55" t="s">
        <v>25</v>
      </c>
      <c r="G180" s="55">
        <v>5</v>
      </c>
      <c r="H180" s="55">
        <v>4</v>
      </c>
      <c r="I180" s="41">
        <v>3655</v>
      </c>
      <c r="J180" s="41">
        <v>3333.5</v>
      </c>
      <c r="K180" s="41">
        <f>J180-257.3</f>
        <v>3076.2</v>
      </c>
      <c r="L180" s="106">
        <v>161</v>
      </c>
      <c r="M180" s="53">
        <v>2275695</v>
      </c>
      <c r="N180" s="41">
        <v>0</v>
      </c>
      <c r="O180" s="41">
        <v>0</v>
      </c>
      <c r="P180" s="41">
        <f t="shared" si="45"/>
        <v>2275695</v>
      </c>
      <c r="Q180" s="41">
        <v>0</v>
      </c>
      <c r="R180" s="41">
        <v>0</v>
      </c>
      <c r="S180" s="41">
        <f t="shared" ref="S180" si="48">M180/J180</f>
        <v>682.67436628168593</v>
      </c>
      <c r="T180" s="53">
        <v>7920</v>
      </c>
      <c r="U180" s="90" t="s">
        <v>174</v>
      </c>
    </row>
    <row r="181" spans="2:21" s="44" customFormat="1" x14ac:dyDescent="0.25">
      <c r="B181" s="91">
        <v>38</v>
      </c>
      <c r="C181" s="161" t="s">
        <v>252</v>
      </c>
      <c r="D181" s="54">
        <v>1949</v>
      </c>
      <c r="E181" s="55"/>
      <c r="F181" s="55" t="s">
        <v>25</v>
      </c>
      <c r="G181" s="132" t="s">
        <v>382</v>
      </c>
      <c r="H181" s="55">
        <v>7</v>
      </c>
      <c r="I181" s="41">
        <v>5815.5</v>
      </c>
      <c r="J181" s="41">
        <v>5272.1</v>
      </c>
      <c r="K181" s="41">
        <f>J181-139.64-1618.6</f>
        <v>3513.86</v>
      </c>
      <c r="L181" s="106">
        <v>119</v>
      </c>
      <c r="M181" s="41">
        <v>13009851</v>
      </c>
      <c r="N181" s="41">
        <v>0</v>
      </c>
      <c r="O181" s="41">
        <v>0</v>
      </c>
      <c r="P181" s="41">
        <f t="shared" si="45"/>
        <v>13009851</v>
      </c>
      <c r="Q181" s="41">
        <v>0</v>
      </c>
      <c r="R181" s="41">
        <v>0</v>
      </c>
      <c r="S181" s="41">
        <f t="shared" ref="S181" si="49">M181/J181</f>
        <v>2467.6791032036567</v>
      </c>
      <c r="T181" s="53">
        <v>7920</v>
      </c>
      <c r="U181" s="90" t="s">
        <v>174</v>
      </c>
    </row>
    <row r="182" spans="2:21" s="44" customFormat="1" x14ac:dyDescent="0.25">
      <c r="B182" s="89">
        <v>39</v>
      </c>
      <c r="C182" s="160" t="s">
        <v>253</v>
      </c>
      <c r="D182" s="54">
        <v>1960</v>
      </c>
      <c r="E182" s="55"/>
      <c r="F182" s="55" t="s">
        <v>25</v>
      </c>
      <c r="G182" s="55">
        <v>4</v>
      </c>
      <c r="H182" s="55">
        <v>3</v>
      </c>
      <c r="I182" s="41">
        <v>2119.5</v>
      </c>
      <c r="J182" s="41">
        <v>1971.6</v>
      </c>
      <c r="K182" s="41">
        <f>J182</f>
        <v>1971.6</v>
      </c>
      <c r="L182" s="106">
        <v>78</v>
      </c>
      <c r="M182" s="53">
        <v>1480760</v>
      </c>
      <c r="N182" s="41">
        <v>0</v>
      </c>
      <c r="O182" s="41">
        <v>0</v>
      </c>
      <c r="P182" s="41">
        <f t="shared" si="45"/>
        <v>1480760</v>
      </c>
      <c r="Q182" s="41">
        <v>0</v>
      </c>
      <c r="R182" s="41">
        <v>0</v>
      </c>
      <c r="S182" s="41">
        <f t="shared" ref="S182" si="50">M182/J182</f>
        <v>751.04483668086834</v>
      </c>
      <c r="T182" s="53">
        <v>7920</v>
      </c>
      <c r="U182" s="90" t="s">
        <v>174</v>
      </c>
    </row>
    <row r="183" spans="2:21" s="44" customFormat="1" x14ac:dyDescent="0.25">
      <c r="B183" s="89">
        <v>40</v>
      </c>
      <c r="C183" s="160" t="s">
        <v>254</v>
      </c>
      <c r="D183" s="54">
        <v>1958</v>
      </c>
      <c r="E183" s="55"/>
      <c r="F183" s="55" t="s">
        <v>25</v>
      </c>
      <c r="G183" s="55">
        <v>4</v>
      </c>
      <c r="H183" s="55">
        <v>5</v>
      </c>
      <c r="I183" s="41">
        <v>5887.4</v>
      </c>
      <c r="J183" s="41">
        <v>5353.2</v>
      </c>
      <c r="K183" s="41">
        <f>J183-228.7</f>
        <v>5124.5</v>
      </c>
      <c r="L183" s="106">
        <v>117</v>
      </c>
      <c r="M183" s="41">
        <v>7890789</v>
      </c>
      <c r="N183" s="41">
        <v>0</v>
      </c>
      <c r="O183" s="41">
        <v>0</v>
      </c>
      <c r="P183" s="41">
        <f t="shared" si="45"/>
        <v>7890789</v>
      </c>
      <c r="Q183" s="41">
        <v>0</v>
      </c>
      <c r="R183" s="41">
        <v>0</v>
      </c>
      <c r="S183" s="41">
        <f t="shared" ref="S183" si="51">M183/J183</f>
        <v>1474.0321676754093</v>
      </c>
      <c r="T183" s="53">
        <v>7920</v>
      </c>
      <c r="U183" s="90" t="s">
        <v>174</v>
      </c>
    </row>
    <row r="184" spans="2:21" s="44" customFormat="1" x14ac:dyDescent="0.25">
      <c r="B184" s="89">
        <v>41</v>
      </c>
      <c r="C184" s="160" t="s">
        <v>255</v>
      </c>
      <c r="D184" s="54">
        <v>1960</v>
      </c>
      <c r="E184" s="55"/>
      <c r="F184" s="55" t="s">
        <v>25</v>
      </c>
      <c r="G184" s="55">
        <v>4</v>
      </c>
      <c r="H184" s="55">
        <v>5</v>
      </c>
      <c r="I184" s="41">
        <v>6763.5</v>
      </c>
      <c r="J184" s="41">
        <v>5360.2</v>
      </c>
      <c r="K184" s="41">
        <f>J184-1056.3-163.66</f>
        <v>4140.24</v>
      </c>
      <c r="L184" s="106">
        <v>157</v>
      </c>
      <c r="M184" s="41">
        <v>9024554</v>
      </c>
      <c r="N184" s="41">
        <v>0</v>
      </c>
      <c r="O184" s="41">
        <v>0</v>
      </c>
      <c r="P184" s="41">
        <f t="shared" si="45"/>
        <v>9024554</v>
      </c>
      <c r="Q184" s="41">
        <v>0</v>
      </c>
      <c r="R184" s="41">
        <v>0</v>
      </c>
      <c r="S184" s="41">
        <f t="shared" ref="S184" si="52">M184/J184</f>
        <v>1683.6226260214171</v>
      </c>
      <c r="T184" s="53">
        <v>7920</v>
      </c>
      <c r="U184" s="90" t="s">
        <v>174</v>
      </c>
    </row>
    <row r="185" spans="2:21" s="44" customFormat="1" x14ac:dyDescent="0.25">
      <c r="B185" s="91">
        <v>42</v>
      </c>
      <c r="C185" s="160" t="s">
        <v>256</v>
      </c>
      <c r="D185" s="54">
        <v>1960</v>
      </c>
      <c r="E185" s="55"/>
      <c r="F185" s="55" t="s">
        <v>25</v>
      </c>
      <c r="G185" s="55">
        <v>4</v>
      </c>
      <c r="H185" s="55">
        <v>4</v>
      </c>
      <c r="I185" s="41">
        <v>3219.9</v>
      </c>
      <c r="J185" s="41">
        <v>2423.1999999999998</v>
      </c>
      <c r="K185" s="41">
        <f>J185-485.5-32.2</f>
        <v>1905.4999999999998</v>
      </c>
      <c r="L185" s="106">
        <v>67</v>
      </c>
      <c r="M185" s="41">
        <v>4760511</v>
      </c>
      <c r="N185" s="41">
        <v>0</v>
      </c>
      <c r="O185" s="41">
        <v>0</v>
      </c>
      <c r="P185" s="41">
        <f t="shared" si="45"/>
        <v>4760511</v>
      </c>
      <c r="Q185" s="41">
        <v>0</v>
      </c>
      <c r="R185" s="41">
        <v>0</v>
      </c>
      <c r="S185" s="41">
        <f t="shared" ref="S185" si="53">M185/J185</f>
        <v>1964.5555463849457</v>
      </c>
      <c r="T185" s="53">
        <v>7920</v>
      </c>
      <c r="U185" s="90" t="s">
        <v>174</v>
      </c>
    </row>
    <row r="186" spans="2:21" s="44" customFormat="1" x14ac:dyDescent="0.25">
      <c r="B186" s="91">
        <v>43</v>
      </c>
      <c r="C186" s="160" t="s">
        <v>257</v>
      </c>
      <c r="D186" s="54">
        <v>1959</v>
      </c>
      <c r="E186" s="55"/>
      <c r="F186" s="55" t="s">
        <v>25</v>
      </c>
      <c r="G186" s="55">
        <v>4</v>
      </c>
      <c r="H186" s="55">
        <v>2</v>
      </c>
      <c r="I186" s="41">
        <v>3725.76</v>
      </c>
      <c r="J186" s="41">
        <v>3593.36</v>
      </c>
      <c r="K186" s="41">
        <f>J186-259.2-312.1</f>
        <v>3022.0600000000004</v>
      </c>
      <c r="L186" s="106">
        <v>180</v>
      </c>
      <c r="M186" s="41">
        <v>7269337</v>
      </c>
      <c r="N186" s="41">
        <v>0</v>
      </c>
      <c r="O186" s="41">
        <v>0</v>
      </c>
      <c r="P186" s="41">
        <f t="shared" si="45"/>
        <v>7269337</v>
      </c>
      <c r="Q186" s="41">
        <v>0</v>
      </c>
      <c r="R186" s="41">
        <v>0</v>
      </c>
      <c r="S186" s="41">
        <f t="shared" ref="S186" si="54">M186/J186</f>
        <v>2022.9915733463945</v>
      </c>
      <c r="T186" s="53">
        <v>7920</v>
      </c>
      <c r="U186" s="90" t="s">
        <v>174</v>
      </c>
    </row>
    <row r="187" spans="2:21" s="44" customFormat="1" x14ac:dyDescent="0.25">
      <c r="B187" s="89">
        <v>44</v>
      </c>
      <c r="C187" s="160" t="s">
        <v>258</v>
      </c>
      <c r="D187" s="54">
        <v>1960</v>
      </c>
      <c r="E187" s="55"/>
      <c r="F187" s="55" t="s">
        <v>25</v>
      </c>
      <c r="G187" s="55">
        <v>5</v>
      </c>
      <c r="H187" s="55">
        <v>4</v>
      </c>
      <c r="I187" s="41">
        <v>3084</v>
      </c>
      <c r="J187" s="41">
        <v>2725.9</v>
      </c>
      <c r="K187" s="41">
        <f>J187-77.4</f>
        <v>2648.5</v>
      </c>
      <c r="L187" s="106">
        <v>82</v>
      </c>
      <c r="M187" s="53">
        <v>1960392</v>
      </c>
      <c r="N187" s="41">
        <v>0</v>
      </c>
      <c r="O187" s="41">
        <v>0</v>
      </c>
      <c r="P187" s="41">
        <f t="shared" si="45"/>
        <v>1960392</v>
      </c>
      <c r="Q187" s="41">
        <v>0</v>
      </c>
      <c r="R187" s="41">
        <v>0</v>
      </c>
      <c r="S187" s="41">
        <f>M187/J184</f>
        <v>365.73112943546886</v>
      </c>
      <c r="T187" s="53">
        <v>7920</v>
      </c>
      <c r="U187" s="90" t="s">
        <v>174</v>
      </c>
    </row>
    <row r="188" spans="2:21" s="44" customFormat="1" x14ac:dyDescent="0.25">
      <c r="B188" s="89">
        <v>45</v>
      </c>
      <c r="C188" s="160" t="s">
        <v>259</v>
      </c>
      <c r="D188" s="54">
        <v>1961</v>
      </c>
      <c r="E188" s="55"/>
      <c r="F188" s="55" t="s">
        <v>25</v>
      </c>
      <c r="G188" s="55">
        <v>5</v>
      </c>
      <c r="H188" s="55">
        <v>2</v>
      </c>
      <c r="I188" s="41">
        <v>1734.3</v>
      </c>
      <c r="J188" s="41">
        <v>1611.9</v>
      </c>
      <c r="K188" s="41">
        <f>J188-315.6-32.2</f>
        <v>1264.1000000000001</v>
      </c>
      <c r="L188" s="106">
        <v>43</v>
      </c>
      <c r="M188" s="41">
        <v>1910739</v>
      </c>
      <c r="N188" s="41">
        <v>0</v>
      </c>
      <c r="O188" s="41">
        <v>0</v>
      </c>
      <c r="P188" s="41">
        <f t="shared" si="45"/>
        <v>1910739</v>
      </c>
      <c r="Q188" s="41">
        <v>0</v>
      </c>
      <c r="R188" s="41">
        <v>0</v>
      </c>
      <c r="S188" s="41">
        <f t="shared" ref="S188" si="55">M188/J188</f>
        <v>1185.395495998511</v>
      </c>
      <c r="T188" s="53">
        <v>7920</v>
      </c>
      <c r="U188" s="90" t="s">
        <v>174</v>
      </c>
    </row>
    <row r="189" spans="2:21" s="44" customFormat="1" x14ac:dyDescent="0.25">
      <c r="B189" s="89">
        <v>46</v>
      </c>
      <c r="C189" s="160" t="s">
        <v>260</v>
      </c>
      <c r="D189" s="54">
        <v>1975</v>
      </c>
      <c r="E189" s="55"/>
      <c r="F189" s="55" t="s">
        <v>24</v>
      </c>
      <c r="G189" s="55">
        <v>9</v>
      </c>
      <c r="H189" s="55">
        <v>3</v>
      </c>
      <c r="I189" s="41">
        <v>6484.9</v>
      </c>
      <c r="J189" s="41">
        <v>5723.1</v>
      </c>
      <c r="K189" s="41">
        <f>J189-223</f>
        <v>5500.1</v>
      </c>
      <c r="L189" s="106">
        <v>232</v>
      </c>
      <c r="M189" s="53">
        <v>2680529</v>
      </c>
      <c r="N189" s="41">
        <v>0</v>
      </c>
      <c r="O189" s="41">
        <v>0</v>
      </c>
      <c r="P189" s="41">
        <f t="shared" si="45"/>
        <v>2680529</v>
      </c>
      <c r="Q189" s="41">
        <v>0</v>
      </c>
      <c r="R189" s="41">
        <v>0</v>
      </c>
      <c r="S189" s="41">
        <f t="shared" ref="S189" si="56">M189/J189</f>
        <v>468.37011409900225</v>
      </c>
      <c r="T189" s="53">
        <v>7920</v>
      </c>
      <c r="U189" s="90" t="s">
        <v>174</v>
      </c>
    </row>
    <row r="190" spans="2:21" s="44" customFormat="1" x14ac:dyDescent="0.25">
      <c r="B190" s="91">
        <v>47</v>
      </c>
      <c r="C190" s="160" t="s">
        <v>135</v>
      </c>
      <c r="D190" s="54">
        <v>1991</v>
      </c>
      <c r="E190" s="55"/>
      <c r="F190" s="55" t="s">
        <v>24</v>
      </c>
      <c r="G190" s="55">
        <v>10</v>
      </c>
      <c r="H190" s="55">
        <v>2</v>
      </c>
      <c r="I190" s="41">
        <v>5726.3</v>
      </c>
      <c r="J190" s="41">
        <v>4999.1000000000004</v>
      </c>
      <c r="K190" s="41">
        <f>J190-584.6</f>
        <v>4414.5</v>
      </c>
      <c r="L190" s="106">
        <v>198</v>
      </c>
      <c r="M190" s="53">
        <v>1775454</v>
      </c>
      <c r="N190" s="41">
        <v>0</v>
      </c>
      <c r="O190" s="41">
        <v>0</v>
      </c>
      <c r="P190" s="41">
        <f t="shared" si="45"/>
        <v>1775454</v>
      </c>
      <c r="Q190" s="41">
        <v>0</v>
      </c>
      <c r="R190" s="41">
        <v>0</v>
      </c>
      <c r="S190" s="41">
        <f t="shared" ref="S190" si="57">M190/J190</f>
        <v>355.15472785101315</v>
      </c>
      <c r="T190" s="53">
        <v>7920</v>
      </c>
      <c r="U190" s="90" t="s">
        <v>174</v>
      </c>
    </row>
    <row r="191" spans="2:21" s="44" customFormat="1" x14ac:dyDescent="0.25">
      <c r="B191" s="91">
        <v>48</v>
      </c>
      <c r="C191" s="160" t="s">
        <v>139</v>
      </c>
      <c r="D191" s="54">
        <v>1990</v>
      </c>
      <c r="E191" s="55"/>
      <c r="F191" s="55" t="s">
        <v>24</v>
      </c>
      <c r="G191" s="55">
        <v>10</v>
      </c>
      <c r="H191" s="55">
        <v>3</v>
      </c>
      <c r="I191" s="41">
        <v>7868.5</v>
      </c>
      <c r="J191" s="41">
        <v>7124.1</v>
      </c>
      <c r="K191" s="41">
        <f>J191-382</f>
        <v>6742.1</v>
      </c>
      <c r="L191" s="106">
        <v>316</v>
      </c>
      <c r="M191" s="53">
        <v>2229085</v>
      </c>
      <c r="N191" s="41">
        <v>0</v>
      </c>
      <c r="O191" s="41">
        <v>0</v>
      </c>
      <c r="P191" s="41">
        <f t="shared" si="45"/>
        <v>2229085</v>
      </c>
      <c r="Q191" s="41">
        <v>0</v>
      </c>
      <c r="R191" s="41">
        <v>0</v>
      </c>
      <c r="S191" s="41">
        <f t="shared" ref="S191" si="58">M191/J191</f>
        <v>312.89355848458047</v>
      </c>
      <c r="T191" s="53">
        <v>7920</v>
      </c>
      <c r="U191" s="90" t="s">
        <v>174</v>
      </c>
    </row>
    <row r="192" spans="2:21" s="44" customFormat="1" x14ac:dyDescent="0.25">
      <c r="B192" s="89">
        <v>49</v>
      </c>
      <c r="C192" s="160" t="s">
        <v>261</v>
      </c>
      <c r="D192" s="54">
        <v>1985</v>
      </c>
      <c r="E192" s="55"/>
      <c r="F192" s="55" t="s">
        <v>24</v>
      </c>
      <c r="G192" s="55">
        <v>9</v>
      </c>
      <c r="H192" s="55">
        <v>3</v>
      </c>
      <c r="I192" s="41">
        <v>5799.9</v>
      </c>
      <c r="J192" s="41">
        <v>5217.59</v>
      </c>
      <c r="K192" s="41">
        <f>J192-479.4</f>
        <v>4738.1900000000005</v>
      </c>
      <c r="L192" s="106">
        <v>257</v>
      </c>
      <c r="M192" s="41">
        <v>5875894</v>
      </c>
      <c r="N192" s="41">
        <v>0</v>
      </c>
      <c r="O192" s="41">
        <v>0</v>
      </c>
      <c r="P192" s="41">
        <f t="shared" si="45"/>
        <v>5875894</v>
      </c>
      <c r="Q192" s="41">
        <v>0</v>
      </c>
      <c r="R192" s="41">
        <v>0</v>
      </c>
      <c r="S192" s="41">
        <f t="shared" ref="S192" si="59">M192/J192</f>
        <v>1126.1701283542784</v>
      </c>
      <c r="T192" s="53">
        <v>7920</v>
      </c>
      <c r="U192" s="90" t="s">
        <v>174</v>
      </c>
    </row>
    <row r="193" spans="2:21" s="44" customFormat="1" x14ac:dyDescent="0.25">
      <c r="B193" s="89">
        <v>50</v>
      </c>
      <c r="C193" s="160" t="s">
        <v>262</v>
      </c>
      <c r="D193" s="54">
        <v>1984</v>
      </c>
      <c r="E193" s="55"/>
      <c r="F193" s="55" t="s">
        <v>24</v>
      </c>
      <c r="G193" s="55">
        <v>9</v>
      </c>
      <c r="H193" s="55">
        <v>7</v>
      </c>
      <c r="I193" s="41">
        <v>16903.900000000001</v>
      </c>
      <c r="J193" s="41">
        <v>13820.7</v>
      </c>
      <c r="K193" s="41">
        <f>J193-881.3</f>
        <v>12939.400000000001</v>
      </c>
      <c r="L193" s="106">
        <v>643</v>
      </c>
      <c r="M193" s="41">
        <v>19301983</v>
      </c>
      <c r="N193" s="41">
        <v>0</v>
      </c>
      <c r="O193" s="41">
        <v>0</v>
      </c>
      <c r="P193" s="41">
        <f t="shared" si="45"/>
        <v>19301983</v>
      </c>
      <c r="Q193" s="41">
        <v>0</v>
      </c>
      <c r="R193" s="41">
        <v>0</v>
      </c>
      <c r="S193" s="41">
        <f t="shared" ref="S193" si="60">M193/J193</f>
        <v>1396.5995210083424</v>
      </c>
      <c r="T193" s="53">
        <v>7920</v>
      </c>
      <c r="U193" s="90" t="s">
        <v>174</v>
      </c>
    </row>
    <row r="194" spans="2:21" s="44" customFormat="1" x14ac:dyDescent="0.25">
      <c r="B194" s="89">
        <v>51</v>
      </c>
      <c r="C194" s="160" t="s">
        <v>263</v>
      </c>
      <c r="D194" s="54">
        <v>1985</v>
      </c>
      <c r="E194" s="55"/>
      <c r="F194" s="55" t="s">
        <v>24</v>
      </c>
      <c r="G194" s="55">
        <v>9</v>
      </c>
      <c r="H194" s="55">
        <v>6</v>
      </c>
      <c r="I194" s="41">
        <v>17027.8</v>
      </c>
      <c r="J194" s="41">
        <v>11641.95</v>
      </c>
      <c r="K194" s="41">
        <f>J194-817</f>
        <v>10824.95</v>
      </c>
      <c r="L194" s="106">
        <v>443</v>
      </c>
      <c r="M194" s="41">
        <v>16761523</v>
      </c>
      <c r="N194" s="41">
        <v>0</v>
      </c>
      <c r="O194" s="41">
        <v>0</v>
      </c>
      <c r="P194" s="41">
        <f t="shared" si="45"/>
        <v>16761523</v>
      </c>
      <c r="Q194" s="41">
        <v>0</v>
      </c>
      <c r="R194" s="41">
        <v>0</v>
      </c>
      <c r="S194" s="41">
        <f t="shared" ref="S194" si="61">M194/J194</f>
        <v>1439.7521892810053</v>
      </c>
      <c r="T194" s="53">
        <v>7920</v>
      </c>
      <c r="U194" s="90" t="s">
        <v>174</v>
      </c>
    </row>
    <row r="195" spans="2:21" s="44" customFormat="1" x14ac:dyDescent="0.25">
      <c r="B195" s="91">
        <v>52</v>
      </c>
      <c r="C195" s="160" t="s">
        <v>264</v>
      </c>
      <c r="D195" s="54">
        <v>1956</v>
      </c>
      <c r="E195" s="55"/>
      <c r="F195" s="55" t="s">
        <v>25</v>
      </c>
      <c r="G195" s="55">
        <v>5</v>
      </c>
      <c r="H195" s="55">
        <v>8</v>
      </c>
      <c r="I195" s="41">
        <v>8242.25</v>
      </c>
      <c r="J195" s="41">
        <v>7440.45</v>
      </c>
      <c r="K195" s="41">
        <f>J195</f>
        <v>7440.45</v>
      </c>
      <c r="L195" s="106">
        <v>249</v>
      </c>
      <c r="M195" s="53">
        <v>2705922</v>
      </c>
      <c r="N195" s="41">
        <v>0</v>
      </c>
      <c r="O195" s="41">
        <v>0</v>
      </c>
      <c r="P195" s="41">
        <f t="shared" si="45"/>
        <v>2705922</v>
      </c>
      <c r="Q195" s="41">
        <v>0</v>
      </c>
      <c r="R195" s="41">
        <v>0</v>
      </c>
      <c r="S195" s="41">
        <f t="shared" ref="S195" si="62">M195/J195</f>
        <v>363.67719694373324</v>
      </c>
      <c r="T195" s="53">
        <v>7920</v>
      </c>
      <c r="U195" s="90" t="s">
        <v>174</v>
      </c>
    </row>
    <row r="196" spans="2:21" s="44" customFormat="1" x14ac:dyDescent="0.25">
      <c r="B196" s="91">
        <v>53</v>
      </c>
      <c r="C196" s="160" t="s">
        <v>265</v>
      </c>
      <c r="D196" s="54">
        <v>1970</v>
      </c>
      <c r="E196" s="55"/>
      <c r="F196" s="55" t="s">
        <v>25</v>
      </c>
      <c r="G196" s="55">
        <v>5</v>
      </c>
      <c r="H196" s="55">
        <v>4</v>
      </c>
      <c r="I196" s="41">
        <v>3540.8</v>
      </c>
      <c r="J196" s="41">
        <v>3185.8</v>
      </c>
      <c r="K196" s="41">
        <f>J196-89.7-629.1</f>
        <v>2467.0000000000005</v>
      </c>
      <c r="L196" s="106">
        <v>95</v>
      </c>
      <c r="M196" s="41">
        <v>5332832</v>
      </c>
      <c r="N196" s="41">
        <v>0</v>
      </c>
      <c r="O196" s="41">
        <v>0</v>
      </c>
      <c r="P196" s="41">
        <f t="shared" si="45"/>
        <v>5332832</v>
      </c>
      <c r="Q196" s="41">
        <v>0</v>
      </c>
      <c r="R196" s="41">
        <v>0</v>
      </c>
      <c r="S196" s="41">
        <f t="shared" ref="S196" si="63">M196/J196</f>
        <v>1673.9381003201706</v>
      </c>
      <c r="T196" s="53">
        <v>7920</v>
      </c>
      <c r="U196" s="90" t="s">
        <v>174</v>
      </c>
    </row>
    <row r="197" spans="2:21" s="44" customFormat="1" x14ac:dyDescent="0.25">
      <c r="B197" s="89">
        <v>54</v>
      </c>
      <c r="C197" s="160" t="s">
        <v>266</v>
      </c>
      <c r="D197" s="54">
        <v>1982</v>
      </c>
      <c r="E197" s="55"/>
      <c r="F197" s="55" t="s">
        <v>24</v>
      </c>
      <c r="G197" s="55">
        <v>12</v>
      </c>
      <c r="H197" s="55">
        <v>1</v>
      </c>
      <c r="I197" s="41">
        <v>3751.6</v>
      </c>
      <c r="J197" s="41">
        <v>3545</v>
      </c>
      <c r="K197" s="41">
        <f>J197-295.8</f>
        <v>3249.2</v>
      </c>
      <c r="L197" s="106">
        <v>1436</v>
      </c>
      <c r="M197" s="41">
        <v>3933209</v>
      </c>
      <c r="N197" s="41">
        <v>0</v>
      </c>
      <c r="O197" s="41">
        <v>0</v>
      </c>
      <c r="P197" s="41">
        <f t="shared" si="45"/>
        <v>3933209</v>
      </c>
      <c r="Q197" s="41">
        <v>0</v>
      </c>
      <c r="R197" s="41">
        <v>0</v>
      </c>
      <c r="S197" s="41">
        <f t="shared" ref="S197" si="64">M197/J197</f>
        <v>1109.5088857545838</v>
      </c>
      <c r="T197" s="53">
        <v>7920</v>
      </c>
      <c r="U197" s="90" t="s">
        <v>174</v>
      </c>
    </row>
    <row r="198" spans="2:21" s="44" customFormat="1" x14ac:dyDescent="0.25">
      <c r="B198" s="89">
        <v>55</v>
      </c>
      <c r="C198" s="160" t="s">
        <v>267</v>
      </c>
      <c r="D198" s="54">
        <v>1938</v>
      </c>
      <c r="E198" s="55"/>
      <c r="F198" s="55" t="s">
        <v>25</v>
      </c>
      <c r="G198" s="55">
        <v>5</v>
      </c>
      <c r="H198" s="55">
        <v>4</v>
      </c>
      <c r="I198" s="41">
        <v>3867.9</v>
      </c>
      <c r="J198" s="41">
        <v>3507.8</v>
      </c>
      <c r="K198" s="41">
        <f>J198-214.6</f>
        <v>3293.2000000000003</v>
      </c>
      <c r="L198" s="106">
        <v>63</v>
      </c>
      <c r="M198" s="41">
        <v>15072649</v>
      </c>
      <c r="N198" s="41">
        <v>0</v>
      </c>
      <c r="O198" s="41">
        <v>0</v>
      </c>
      <c r="P198" s="41">
        <f t="shared" si="45"/>
        <v>15072649</v>
      </c>
      <c r="Q198" s="41">
        <v>0</v>
      </c>
      <c r="R198" s="41">
        <v>0</v>
      </c>
      <c r="S198" s="41">
        <f t="shared" ref="S198:S199" si="65">M198/J198</f>
        <v>4296.8952049717773</v>
      </c>
      <c r="T198" s="53">
        <v>7920</v>
      </c>
      <c r="U198" s="90" t="s">
        <v>174</v>
      </c>
    </row>
    <row r="199" spans="2:21" s="44" customFormat="1" x14ac:dyDescent="0.25">
      <c r="B199" s="89">
        <v>56</v>
      </c>
      <c r="C199" s="160" t="s">
        <v>268</v>
      </c>
      <c r="D199" s="54">
        <v>1936</v>
      </c>
      <c r="E199" s="55"/>
      <c r="F199" s="55" t="s">
        <v>25</v>
      </c>
      <c r="G199" s="55">
        <v>5</v>
      </c>
      <c r="H199" s="55">
        <v>4</v>
      </c>
      <c r="I199" s="41">
        <v>7195.3</v>
      </c>
      <c r="J199" s="41">
        <v>6273.7</v>
      </c>
      <c r="K199" s="41">
        <f>J199-1979.8-20.8</f>
        <v>4273.0999999999995</v>
      </c>
      <c r="L199" s="106">
        <v>211</v>
      </c>
      <c r="M199" s="41">
        <v>27665033</v>
      </c>
      <c r="N199" s="41">
        <v>0</v>
      </c>
      <c r="O199" s="41">
        <v>0</v>
      </c>
      <c r="P199" s="41">
        <f t="shared" si="45"/>
        <v>27665033</v>
      </c>
      <c r="Q199" s="41">
        <v>0</v>
      </c>
      <c r="R199" s="41">
        <v>0</v>
      </c>
      <c r="S199" s="41">
        <f t="shared" si="65"/>
        <v>4409.6837591851699</v>
      </c>
      <c r="T199" s="53">
        <v>7920</v>
      </c>
      <c r="U199" s="90" t="s">
        <v>174</v>
      </c>
    </row>
    <row r="200" spans="2:21" s="44" customFormat="1" x14ac:dyDescent="0.25">
      <c r="B200" s="91">
        <v>57</v>
      </c>
      <c r="C200" s="160" t="s">
        <v>269</v>
      </c>
      <c r="D200" s="54">
        <v>1979</v>
      </c>
      <c r="E200" s="55"/>
      <c r="F200" s="55" t="s">
        <v>25</v>
      </c>
      <c r="G200" s="55">
        <v>9</v>
      </c>
      <c r="H200" s="55">
        <v>5</v>
      </c>
      <c r="I200" s="41">
        <v>16638.400000000001</v>
      </c>
      <c r="J200" s="41">
        <v>15828.7</v>
      </c>
      <c r="K200" s="41">
        <f>J200-5507.1-659.9</f>
        <v>9661.7000000000007</v>
      </c>
      <c r="L200" s="106">
        <v>462</v>
      </c>
      <c r="M200" s="41">
        <v>16960254</v>
      </c>
      <c r="N200" s="41">
        <v>0</v>
      </c>
      <c r="O200" s="41">
        <v>0</v>
      </c>
      <c r="P200" s="41">
        <f t="shared" si="45"/>
        <v>16960254</v>
      </c>
      <c r="Q200" s="41">
        <v>0</v>
      </c>
      <c r="R200" s="41">
        <v>0</v>
      </c>
      <c r="S200" s="41">
        <f t="shared" ref="S200" si="66">M200/J200</f>
        <v>1071.4874879175168</v>
      </c>
      <c r="T200" s="53">
        <v>7920</v>
      </c>
      <c r="U200" s="90" t="s">
        <v>174</v>
      </c>
    </row>
    <row r="201" spans="2:21" s="44" customFormat="1" x14ac:dyDescent="0.25">
      <c r="B201" s="91">
        <v>58</v>
      </c>
      <c r="C201" s="160" t="s">
        <v>270</v>
      </c>
      <c r="D201" s="54">
        <v>1983</v>
      </c>
      <c r="E201" s="55"/>
      <c r="F201" s="55" t="s">
        <v>25</v>
      </c>
      <c r="G201" s="55">
        <v>5</v>
      </c>
      <c r="H201" s="55">
        <v>4</v>
      </c>
      <c r="I201" s="41">
        <v>3321.1</v>
      </c>
      <c r="J201" s="41">
        <v>2980.7</v>
      </c>
      <c r="K201" s="41">
        <f>J201-242.8-49.7</f>
        <v>2688.2</v>
      </c>
      <c r="L201" s="106">
        <v>126</v>
      </c>
      <c r="M201" s="41">
        <v>2244189</v>
      </c>
      <c r="N201" s="41">
        <v>0</v>
      </c>
      <c r="O201" s="41">
        <v>0</v>
      </c>
      <c r="P201" s="41">
        <f t="shared" si="45"/>
        <v>2244189</v>
      </c>
      <c r="Q201" s="41">
        <v>0</v>
      </c>
      <c r="R201" s="41">
        <v>0</v>
      </c>
      <c r="S201" s="41">
        <f t="shared" ref="S201" si="67">M201/J201</f>
        <v>752.90669976851075</v>
      </c>
      <c r="T201" s="53">
        <v>7920</v>
      </c>
      <c r="U201" s="90" t="s">
        <v>174</v>
      </c>
    </row>
    <row r="202" spans="2:21" s="44" customFormat="1" x14ac:dyDescent="0.25">
      <c r="B202" s="89">
        <v>59</v>
      </c>
      <c r="C202" s="160" t="s">
        <v>271</v>
      </c>
      <c r="D202" s="54">
        <v>1978</v>
      </c>
      <c r="E202" s="55"/>
      <c r="F202" s="55" t="s">
        <v>25</v>
      </c>
      <c r="G202" s="55">
        <v>9</v>
      </c>
      <c r="H202" s="55">
        <v>1</v>
      </c>
      <c r="I202" s="41">
        <v>4578.5</v>
      </c>
      <c r="J202" s="41">
        <v>3991.2</v>
      </c>
      <c r="K202" s="41">
        <f>J202-348.3</f>
        <v>3642.8999999999996</v>
      </c>
      <c r="L202" s="106">
        <v>141</v>
      </c>
      <c r="M202" s="41">
        <v>3823864</v>
      </c>
      <c r="N202" s="41">
        <v>0</v>
      </c>
      <c r="O202" s="41">
        <v>0</v>
      </c>
      <c r="P202" s="41">
        <f t="shared" si="45"/>
        <v>3823864</v>
      </c>
      <c r="Q202" s="41">
        <v>0</v>
      </c>
      <c r="R202" s="41">
        <v>0</v>
      </c>
      <c r="S202" s="41">
        <f t="shared" ref="S202" si="68">M202/J202</f>
        <v>958.07376227700945</v>
      </c>
      <c r="T202" s="53">
        <v>7920</v>
      </c>
      <c r="U202" s="90" t="s">
        <v>174</v>
      </c>
    </row>
    <row r="203" spans="2:21" s="44" customFormat="1" x14ac:dyDescent="0.25">
      <c r="B203" s="89">
        <v>60</v>
      </c>
      <c r="C203" s="160" t="s">
        <v>272</v>
      </c>
      <c r="D203" s="54">
        <v>1979</v>
      </c>
      <c r="E203" s="55"/>
      <c r="F203" s="55" t="s">
        <v>25</v>
      </c>
      <c r="G203" s="55">
        <v>5</v>
      </c>
      <c r="H203" s="55">
        <v>2</v>
      </c>
      <c r="I203" s="41">
        <v>4432.5</v>
      </c>
      <c r="J203" s="41">
        <v>4142.6000000000004</v>
      </c>
      <c r="K203" s="41">
        <f>J203-38.5</f>
        <v>4104.1000000000004</v>
      </c>
      <c r="L203" s="106">
        <v>234</v>
      </c>
      <c r="M203" s="41">
        <v>3683615</v>
      </c>
      <c r="N203" s="41">
        <v>0</v>
      </c>
      <c r="O203" s="41">
        <v>0</v>
      </c>
      <c r="P203" s="41">
        <f t="shared" si="45"/>
        <v>3683615</v>
      </c>
      <c r="Q203" s="41">
        <v>0</v>
      </c>
      <c r="R203" s="41">
        <v>0</v>
      </c>
      <c r="S203" s="41">
        <f t="shared" ref="S203" si="69">M203/J203</f>
        <v>889.20364022594504</v>
      </c>
      <c r="T203" s="53">
        <v>7920</v>
      </c>
      <c r="U203" s="90" t="s">
        <v>174</v>
      </c>
    </row>
    <row r="204" spans="2:21" s="44" customFormat="1" x14ac:dyDescent="0.25">
      <c r="B204" s="89">
        <v>61</v>
      </c>
      <c r="C204" s="160" t="s">
        <v>273</v>
      </c>
      <c r="D204" s="54">
        <v>1990</v>
      </c>
      <c r="E204" s="55"/>
      <c r="F204" s="55" t="s">
        <v>25</v>
      </c>
      <c r="G204" s="55">
        <v>5</v>
      </c>
      <c r="H204" s="55">
        <v>4</v>
      </c>
      <c r="I204" s="41">
        <v>2807.3</v>
      </c>
      <c r="J204" s="41">
        <v>2511.8000000000002</v>
      </c>
      <c r="K204" s="41">
        <f>J204-129.9</f>
        <v>2381.9</v>
      </c>
      <c r="L204" s="106">
        <v>109</v>
      </c>
      <c r="M204" s="53">
        <v>1834011</v>
      </c>
      <c r="N204" s="41">
        <v>0</v>
      </c>
      <c r="O204" s="41">
        <v>0</v>
      </c>
      <c r="P204" s="41">
        <f t="shared" si="45"/>
        <v>1834011</v>
      </c>
      <c r="Q204" s="41">
        <v>0</v>
      </c>
      <c r="R204" s="41">
        <v>0</v>
      </c>
      <c r="S204" s="41">
        <f t="shared" ref="S204" si="70">M204/J204</f>
        <v>730.15805398518989</v>
      </c>
      <c r="T204" s="53">
        <v>7920</v>
      </c>
      <c r="U204" s="90" t="s">
        <v>174</v>
      </c>
    </row>
    <row r="205" spans="2:21" s="44" customFormat="1" x14ac:dyDescent="0.25">
      <c r="B205" s="91">
        <v>62</v>
      </c>
      <c r="C205" s="160" t="s">
        <v>274</v>
      </c>
      <c r="D205" s="54">
        <v>1982</v>
      </c>
      <c r="E205" s="55"/>
      <c r="F205" s="55" t="s">
        <v>24</v>
      </c>
      <c r="G205" s="55">
        <v>9</v>
      </c>
      <c r="H205" s="55">
        <v>1</v>
      </c>
      <c r="I205" s="41">
        <v>4116.6000000000004</v>
      </c>
      <c r="J205" s="41">
        <v>3932.2</v>
      </c>
      <c r="K205" s="41">
        <f>J205-208.8</f>
        <v>3723.3999999999996</v>
      </c>
      <c r="L205" s="106">
        <v>227</v>
      </c>
      <c r="M205" s="41">
        <v>4637754</v>
      </c>
      <c r="N205" s="41">
        <v>0</v>
      </c>
      <c r="O205" s="41">
        <v>0</v>
      </c>
      <c r="P205" s="41">
        <f t="shared" si="45"/>
        <v>4637754</v>
      </c>
      <c r="Q205" s="41">
        <v>0</v>
      </c>
      <c r="R205" s="41">
        <v>0</v>
      </c>
      <c r="S205" s="41">
        <f t="shared" ref="S205" si="71">M205/J205</f>
        <v>1179.4298357153757</v>
      </c>
      <c r="T205" s="53">
        <v>7920</v>
      </c>
      <c r="U205" s="90" t="s">
        <v>174</v>
      </c>
    </row>
    <row r="206" spans="2:21" s="44" customFormat="1" x14ac:dyDescent="0.25">
      <c r="B206" s="91">
        <v>63</v>
      </c>
      <c r="C206" s="160" t="s">
        <v>194</v>
      </c>
      <c r="D206" s="54">
        <v>1982</v>
      </c>
      <c r="E206" s="55"/>
      <c r="F206" s="55" t="s">
        <v>24</v>
      </c>
      <c r="G206" s="55">
        <v>9</v>
      </c>
      <c r="H206" s="55">
        <v>4</v>
      </c>
      <c r="I206" s="41">
        <v>8678.6</v>
      </c>
      <c r="J206" s="41">
        <v>7762.8</v>
      </c>
      <c r="K206" s="41">
        <f>J206-380.8</f>
        <v>7382</v>
      </c>
      <c r="L206" s="106">
        <v>338</v>
      </c>
      <c r="M206" s="53">
        <v>3174246</v>
      </c>
      <c r="N206" s="41">
        <v>0</v>
      </c>
      <c r="O206" s="41">
        <v>0</v>
      </c>
      <c r="P206" s="41">
        <f t="shared" si="45"/>
        <v>3174246</v>
      </c>
      <c r="Q206" s="41">
        <v>0</v>
      </c>
      <c r="R206" s="41">
        <v>0</v>
      </c>
      <c r="S206" s="41">
        <f t="shared" ref="S206" si="72">M206/J206</f>
        <v>408.90477662699027</v>
      </c>
      <c r="T206" s="53">
        <v>7920</v>
      </c>
      <c r="U206" s="90" t="s">
        <v>174</v>
      </c>
    </row>
    <row r="207" spans="2:21" s="44" customFormat="1" x14ac:dyDescent="0.25">
      <c r="B207" s="89">
        <v>64</v>
      </c>
      <c r="C207" s="160" t="s">
        <v>275</v>
      </c>
      <c r="D207" s="54">
        <v>1985</v>
      </c>
      <c r="E207" s="55"/>
      <c r="F207" s="55" t="s">
        <v>24</v>
      </c>
      <c r="G207" s="55">
        <v>12</v>
      </c>
      <c r="H207" s="55">
        <v>1</v>
      </c>
      <c r="I207" s="41">
        <v>4461.3999999999996</v>
      </c>
      <c r="J207" s="41">
        <v>3567.2</v>
      </c>
      <c r="K207" s="41">
        <f>J207-149.3</f>
        <v>3417.8999999999996</v>
      </c>
      <c r="L207" s="106">
        <v>171</v>
      </c>
      <c r="M207" s="41">
        <v>9148745</v>
      </c>
      <c r="N207" s="41">
        <v>0</v>
      </c>
      <c r="O207" s="41">
        <v>0</v>
      </c>
      <c r="P207" s="41">
        <f t="shared" si="45"/>
        <v>9148745</v>
      </c>
      <c r="Q207" s="41">
        <v>0</v>
      </c>
      <c r="R207" s="41">
        <v>0</v>
      </c>
      <c r="S207" s="41">
        <f t="shared" ref="S207" si="73">M207/J207</f>
        <v>2564.6851872617181</v>
      </c>
      <c r="T207" s="53">
        <v>7920</v>
      </c>
      <c r="U207" s="90" t="s">
        <v>174</v>
      </c>
    </row>
    <row r="208" spans="2:21" s="44" customFormat="1" x14ac:dyDescent="0.25">
      <c r="B208" s="89">
        <v>65</v>
      </c>
      <c r="C208" s="160" t="s">
        <v>276</v>
      </c>
      <c r="D208" s="54">
        <v>1985</v>
      </c>
      <c r="E208" s="55"/>
      <c r="F208" s="55" t="s">
        <v>24</v>
      </c>
      <c r="G208" s="55">
        <v>12</v>
      </c>
      <c r="H208" s="55">
        <v>1</v>
      </c>
      <c r="I208" s="41">
        <v>4374.6000000000004</v>
      </c>
      <c r="J208" s="41">
        <v>3561.4</v>
      </c>
      <c r="K208" s="41">
        <f>J208-149.3</f>
        <v>3412.1</v>
      </c>
      <c r="L208" s="106">
        <v>166</v>
      </c>
      <c r="M208" s="41">
        <v>9148189</v>
      </c>
      <c r="N208" s="41">
        <v>0</v>
      </c>
      <c r="O208" s="41">
        <v>0</v>
      </c>
      <c r="P208" s="41">
        <f t="shared" si="45"/>
        <v>9148189</v>
      </c>
      <c r="Q208" s="41">
        <v>0</v>
      </c>
      <c r="R208" s="41">
        <v>0</v>
      </c>
      <c r="S208" s="41">
        <f t="shared" ref="S208" si="74">M208/J208</f>
        <v>2568.7058460156118</v>
      </c>
      <c r="T208" s="53">
        <v>7920</v>
      </c>
      <c r="U208" s="90" t="s">
        <v>174</v>
      </c>
    </row>
    <row r="209" spans="2:21" s="44" customFormat="1" x14ac:dyDescent="0.25">
      <c r="B209" s="89">
        <v>66</v>
      </c>
      <c r="C209" s="160" t="s">
        <v>277</v>
      </c>
      <c r="D209" s="54">
        <v>1984</v>
      </c>
      <c r="E209" s="55"/>
      <c r="F209" s="55" t="s">
        <v>24</v>
      </c>
      <c r="G209" s="55">
        <v>9</v>
      </c>
      <c r="H209" s="55">
        <v>1</v>
      </c>
      <c r="I209" s="41">
        <v>3478.9</v>
      </c>
      <c r="J209" s="41">
        <v>2941.2</v>
      </c>
      <c r="K209" s="41">
        <f>J209-213.2</f>
        <v>2728</v>
      </c>
      <c r="L209" s="106">
        <v>84</v>
      </c>
      <c r="M209" s="41">
        <v>7032747</v>
      </c>
      <c r="N209" s="41">
        <v>0</v>
      </c>
      <c r="O209" s="41">
        <v>0</v>
      </c>
      <c r="P209" s="41">
        <f t="shared" si="45"/>
        <v>7032747</v>
      </c>
      <c r="Q209" s="41">
        <v>0</v>
      </c>
      <c r="R209" s="41">
        <v>0</v>
      </c>
      <c r="S209" s="41">
        <f t="shared" ref="S209" si="75">M209/J209</f>
        <v>2391.1148510811913</v>
      </c>
      <c r="T209" s="53">
        <v>7920</v>
      </c>
      <c r="U209" s="90" t="s">
        <v>174</v>
      </c>
    </row>
    <row r="210" spans="2:21" s="44" customFormat="1" x14ac:dyDescent="0.25">
      <c r="B210" s="91">
        <v>67</v>
      </c>
      <c r="C210" s="160" t="s">
        <v>278</v>
      </c>
      <c r="D210" s="54">
        <v>1986</v>
      </c>
      <c r="E210" s="55"/>
      <c r="F210" s="55" t="s">
        <v>24</v>
      </c>
      <c r="G210" s="55">
        <v>9</v>
      </c>
      <c r="H210" s="55">
        <v>1</v>
      </c>
      <c r="I210" s="41">
        <v>3982.2</v>
      </c>
      <c r="J210" s="41">
        <v>3205</v>
      </c>
      <c r="K210" s="41">
        <f>J210-413.7</f>
        <v>2791.3</v>
      </c>
      <c r="L210" s="106">
        <v>181</v>
      </c>
      <c r="M210" s="41">
        <v>6596287</v>
      </c>
      <c r="N210" s="41">
        <v>0</v>
      </c>
      <c r="O210" s="41">
        <v>0</v>
      </c>
      <c r="P210" s="41">
        <f t="shared" si="45"/>
        <v>6596287</v>
      </c>
      <c r="Q210" s="41">
        <v>0</v>
      </c>
      <c r="R210" s="41">
        <v>0</v>
      </c>
      <c r="S210" s="41">
        <f t="shared" ref="S210" si="76">M210/J210</f>
        <v>2058.1238689547581</v>
      </c>
      <c r="T210" s="53">
        <v>7920</v>
      </c>
      <c r="U210" s="90" t="s">
        <v>174</v>
      </c>
    </row>
    <row r="211" spans="2:21" s="44" customFormat="1" x14ac:dyDescent="0.25">
      <c r="B211" s="91">
        <v>68</v>
      </c>
      <c r="C211" s="160" t="s">
        <v>279</v>
      </c>
      <c r="D211" s="54">
        <v>1990</v>
      </c>
      <c r="E211" s="55"/>
      <c r="F211" s="55" t="s">
        <v>24</v>
      </c>
      <c r="G211" s="55">
        <v>5</v>
      </c>
      <c r="H211" s="55">
        <v>1</v>
      </c>
      <c r="I211" s="41">
        <v>2617.9</v>
      </c>
      <c r="J211" s="41">
        <v>2249.6</v>
      </c>
      <c r="K211" s="41">
        <f>J211-197.3</f>
        <v>2052.2999999999997</v>
      </c>
      <c r="L211" s="106">
        <v>73</v>
      </c>
      <c r="M211" s="41">
        <v>1604996</v>
      </c>
      <c r="N211" s="41">
        <v>0</v>
      </c>
      <c r="O211" s="41">
        <v>0</v>
      </c>
      <c r="P211" s="41">
        <f t="shared" si="45"/>
        <v>1604996</v>
      </c>
      <c r="Q211" s="41">
        <v>0</v>
      </c>
      <c r="R211" s="41">
        <v>0</v>
      </c>
      <c r="S211" s="41">
        <f t="shared" ref="S211" si="77">M211/J211</f>
        <v>713.45839260312948</v>
      </c>
      <c r="T211" s="53">
        <v>7920</v>
      </c>
      <c r="U211" s="90" t="s">
        <v>174</v>
      </c>
    </row>
    <row r="212" spans="2:21" s="44" customFormat="1" x14ac:dyDescent="0.25">
      <c r="B212" s="89">
        <v>69</v>
      </c>
      <c r="C212" s="160" t="s">
        <v>280</v>
      </c>
      <c r="D212" s="54">
        <v>1985</v>
      </c>
      <c r="E212" s="55"/>
      <c r="F212" s="55" t="s">
        <v>25</v>
      </c>
      <c r="G212" s="55">
        <v>5</v>
      </c>
      <c r="H212" s="55">
        <v>3</v>
      </c>
      <c r="I212" s="41">
        <v>2305.6999999999998</v>
      </c>
      <c r="J212" s="41">
        <v>2030.3</v>
      </c>
      <c r="K212" s="41">
        <f>J212-52.4-32.9</f>
        <v>1944.9999999999998</v>
      </c>
      <c r="L212" s="106">
        <v>89</v>
      </c>
      <c r="M212" s="53">
        <v>1474392</v>
      </c>
      <c r="N212" s="41">
        <v>0</v>
      </c>
      <c r="O212" s="41">
        <v>0</v>
      </c>
      <c r="P212" s="41">
        <f t="shared" ref="P212" si="78">M212</f>
        <v>1474392</v>
      </c>
      <c r="Q212" s="41">
        <v>0</v>
      </c>
      <c r="R212" s="41">
        <v>0</v>
      </c>
      <c r="S212" s="41">
        <f t="shared" ref="S212" si="79">M212/J212</f>
        <v>726.19415849874406</v>
      </c>
      <c r="T212" s="53">
        <v>7920</v>
      </c>
      <c r="U212" s="90" t="s">
        <v>174</v>
      </c>
    </row>
    <row r="213" spans="2:21" s="44" customFormat="1" x14ac:dyDescent="0.25">
      <c r="B213" s="89">
        <v>70</v>
      </c>
      <c r="C213" s="160" t="s">
        <v>281</v>
      </c>
      <c r="D213" s="54">
        <v>1984</v>
      </c>
      <c r="E213" s="55"/>
      <c r="F213" s="55" t="s">
        <v>25</v>
      </c>
      <c r="G213" s="55">
        <v>5</v>
      </c>
      <c r="H213" s="55">
        <v>3</v>
      </c>
      <c r="I213" s="41">
        <v>2270.3000000000002</v>
      </c>
      <c r="J213" s="41">
        <v>1999.8</v>
      </c>
      <c r="K213" s="41">
        <f>J213-122.3</f>
        <v>1877.5</v>
      </c>
      <c r="L213" s="106">
        <v>89</v>
      </c>
      <c r="M213" s="53">
        <v>1473151</v>
      </c>
      <c r="N213" s="41">
        <v>0</v>
      </c>
      <c r="O213" s="41">
        <v>0</v>
      </c>
      <c r="P213" s="41">
        <f t="shared" ref="P213:P218" si="80">M213</f>
        <v>1473151</v>
      </c>
      <c r="Q213" s="41">
        <v>0</v>
      </c>
      <c r="R213" s="41">
        <v>0</v>
      </c>
      <c r="S213" s="41">
        <f t="shared" ref="S213" si="81">M213/J213</f>
        <v>736.64916491649171</v>
      </c>
      <c r="T213" s="53">
        <v>7920</v>
      </c>
      <c r="U213" s="90" t="s">
        <v>174</v>
      </c>
    </row>
    <row r="214" spans="2:21" s="44" customFormat="1" x14ac:dyDescent="0.25">
      <c r="B214" s="89">
        <v>71</v>
      </c>
      <c r="C214" s="160" t="s">
        <v>282</v>
      </c>
      <c r="D214" s="54">
        <v>1955</v>
      </c>
      <c r="E214" s="55"/>
      <c r="F214" s="55" t="s">
        <v>25</v>
      </c>
      <c r="G214" s="55">
        <v>3</v>
      </c>
      <c r="H214" s="55">
        <v>3</v>
      </c>
      <c r="I214" s="41">
        <v>3785.4</v>
      </c>
      <c r="J214" s="41">
        <v>2044.7</v>
      </c>
      <c r="K214" s="41">
        <f>J214-169.6</f>
        <v>1875.1000000000001</v>
      </c>
      <c r="L214" s="106">
        <v>64</v>
      </c>
      <c r="M214" s="53">
        <v>2703693</v>
      </c>
      <c r="N214" s="41">
        <v>0</v>
      </c>
      <c r="O214" s="41">
        <v>0</v>
      </c>
      <c r="P214" s="41">
        <f t="shared" si="80"/>
        <v>2703693</v>
      </c>
      <c r="Q214" s="41">
        <v>0</v>
      </c>
      <c r="R214" s="41">
        <v>0</v>
      </c>
      <c r="S214" s="41">
        <f t="shared" ref="S214" si="82">M214/J214</f>
        <v>1322.2932459529516</v>
      </c>
      <c r="T214" s="53">
        <v>7920</v>
      </c>
      <c r="U214" s="90" t="s">
        <v>174</v>
      </c>
    </row>
    <row r="215" spans="2:21" s="44" customFormat="1" x14ac:dyDescent="0.25">
      <c r="B215" s="91">
        <v>72</v>
      </c>
      <c r="C215" s="160" t="s">
        <v>283</v>
      </c>
      <c r="D215" s="54">
        <v>1955</v>
      </c>
      <c r="E215" s="55"/>
      <c r="F215" s="55" t="s">
        <v>25</v>
      </c>
      <c r="G215" s="55">
        <v>3</v>
      </c>
      <c r="H215" s="55">
        <v>3</v>
      </c>
      <c r="I215" s="41">
        <v>1991.5</v>
      </c>
      <c r="J215" s="41">
        <v>1955</v>
      </c>
      <c r="K215" s="41">
        <f>J215-416.8</f>
        <v>1538.2</v>
      </c>
      <c r="L215" s="106">
        <v>65</v>
      </c>
      <c r="M215" s="41">
        <v>5861128</v>
      </c>
      <c r="N215" s="41">
        <v>0</v>
      </c>
      <c r="O215" s="41">
        <v>0</v>
      </c>
      <c r="P215" s="41">
        <f t="shared" si="80"/>
        <v>5861128</v>
      </c>
      <c r="Q215" s="41">
        <v>0</v>
      </c>
      <c r="R215" s="41">
        <v>0</v>
      </c>
      <c r="S215" s="41">
        <f t="shared" ref="S215" si="83">M215/J215</f>
        <v>2998.0194373401537</v>
      </c>
      <c r="T215" s="53">
        <v>7920</v>
      </c>
      <c r="U215" s="90" t="s">
        <v>174</v>
      </c>
    </row>
    <row r="216" spans="2:21" s="44" customFormat="1" x14ac:dyDescent="0.25">
      <c r="B216" s="91">
        <v>73</v>
      </c>
      <c r="C216" s="160" t="s">
        <v>284</v>
      </c>
      <c r="D216" s="54">
        <v>1988</v>
      </c>
      <c r="E216" s="55"/>
      <c r="F216" s="55" t="s">
        <v>25</v>
      </c>
      <c r="G216" s="55">
        <v>9</v>
      </c>
      <c r="H216" s="55">
        <v>2</v>
      </c>
      <c r="I216" s="41">
        <v>6056.02</v>
      </c>
      <c r="J216" s="41">
        <v>5482.9</v>
      </c>
      <c r="K216" s="41">
        <f>J216-211.8</f>
        <v>5271.0999999999995</v>
      </c>
      <c r="L216" s="106">
        <v>272</v>
      </c>
      <c r="M216" s="41">
        <v>3923052</v>
      </c>
      <c r="N216" s="41">
        <v>0</v>
      </c>
      <c r="O216" s="41">
        <v>0</v>
      </c>
      <c r="P216" s="41">
        <f t="shared" si="80"/>
        <v>3923052</v>
      </c>
      <c r="Q216" s="41">
        <v>0</v>
      </c>
      <c r="R216" s="41">
        <v>0</v>
      </c>
      <c r="S216" s="41">
        <f t="shared" ref="S216" si="84">M216/J216</f>
        <v>715.50675737292318</v>
      </c>
      <c r="T216" s="53">
        <v>7920</v>
      </c>
      <c r="U216" s="90" t="s">
        <v>174</v>
      </c>
    </row>
    <row r="217" spans="2:21" s="44" customFormat="1" x14ac:dyDescent="0.25">
      <c r="B217" s="89">
        <v>74</v>
      </c>
      <c r="C217" s="160" t="s">
        <v>285</v>
      </c>
      <c r="D217" s="54">
        <v>1959</v>
      </c>
      <c r="E217" s="55"/>
      <c r="F217" s="55" t="s">
        <v>25</v>
      </c>
      <c r="G217" s="55">
        <v>4</v>
      </c>
      <c r="H217" s="55">
        <v>4</v>
      </c>
      <c r="I217" s="41">
        <v>2771.8</v>
      </c>
      <c r="J217" s="41">
        <v>2547.6</v>
      </c>
      <c r="K217" s="41">
        <f>J217-146.4</f>
        <v>2401.1999999999998</v>
      </c>
      <c r="L217" s="106">
        <v>121</v>
      </c>
      <c r="M217" s="41">
        <v>2765829</v>
      </c>
      <c r="N217" s="41">
        <v>0</v>
      </c>
      <c r="O217" s="41">
        <v>0</v>
      </c>
      <c r="P217" s="41">
        <f t="shared" si="80"/>
        <v>2765829</v>
      </c>
      <c r="Q217" s="41">
        <v>0</v>
      </c>
      <c r="R217" s="41">
        <v>0</v>
      </c>
      <c r="S217" s="41">
        <f t="shared" ref="S217" si="85">M217/J217</f>
        <v>1085.6606217616581</v>
      </c>
      <c r="T217" s="53">
        <v>7920</v>
      </c>
      <c r="U217" s="90" t="s">
        <v>174</v>
      </c>
    </row>
    <row r="218" spans="2:21" s="44" customFormat="1" x14ac:dyDescent="0.25">
      <c r="B218" s="89">
        <v>75</v>
      </c>
      <c r="C218" s="160" t="s">
        <v>286</v>
      </c>
      <c r="D218" s="54">
        <v>1986</v>
      </c>
      <c r="E218" s="55"/>
      <c r="F218" s="55" t="s">
        <v>24</v>
      </c>
      <c r="G218" s="55">
        <v>5</v>
      </c>
      <c r="H218" s="55">
        <v>5</v>
      </c>
      <c r="I218" s="41">
        <v>4086.8</v>
      </c>
      <c r="J218" s="41">
        <v>3554.9</v>
      </c>
      <c r="K218" s="41">
        <f>J218-125.7-265.7</f>
        <v>3163.5000000000005</v>
      </c>
      <c r="L218" s="106">
        <v>189</v>
      </c>
      <c r="M218" s="53">
        <v>2313883</v>
      </c>
      <c r="N218" s="41">
        <v>0</v>
      </c>
      <c r="O218" s="41">
        <v>0</v>
      </c>
      <c r="P218" s="41">
        <f t="shared" si="80"/>
        <v>2313883</v>
      </c>
      <c r="Q218" s="41">
        <v>0</v>
      </c>
      <c r="R218" s="41">
        <v>0</v>
      </c>
      <c r="S218" s="41">
        <f t="shared" ref="S218" si="86">M218/J218</f>
        <v>650.89960336437025</v>
      </c>
      <c r="T218" s="53">
        <v>7920</v>
      </c>
      <c r="U218" s="90" t="s">
        <v>174</v>
      </c>
    </row>
    <row r="219" spans="2:21" s="44" customFormat="1" x14ac:dyDescent="0.25">
      <c r="B219" s="89">
        <v>76</v>
      </c>
      <c r="C219" s="160" t="s">
        <v>287</v>
      </c>
      <c r="D219" s="54">
        <v>1937</v>
      </c>
      <c r="E219" s="55"/>
      <c r="F219" s="55" t="s">
        <v>25</v>
      </c>
      <c r="G219" s="55">
        <v>4</v>
      </c>
      <c r="H219" s="55">
        <v>4</v>
      </c>
      <c r="I219" s="41">
        <v>2879.5</v>
      </c>
      <c r="J219" s="41">
        <v>2373.8000000000002</v>
      </c>
      <c r="K219" s="41">
        <f>J219</f>
        <v>2373.8000000000002</v>
      </c>
      <c r="L219" s="106">
        <v>88</v>
      </c>
      <c r="M219" s="53">
        <v>3921274</v>
      </c>
      <c r="N219" s="41">
        <v>0</v>
      </c>
      <c r="O219" s="41">
        <v>0</v>
      </c>
      <c r="P219" s="41">
        <f t="shared" ref="P219" si="87">M219</f>
        <v>3921274</v>
      </c>
      <c r="Q219" s="41">
        <v>0</v>
      </c>
      <c r="R219" s="41">
        <v>0</v>
      </c>
      <c r="S219" s="41">
        <f t="shared" ref="S219" si="88">M219/J219</f>
        <v>1651.8973797287049</v>
      </c>
      <c r="T219" s="53">
        <v>7920</v>
      </c>
      <c r="U219" s="90" t="s">
        <v>174</v>
      </c>
    </row>
    <row r="220" spans="2:21" s="44" customFormat="1" x14ac:dyDescent="0.25">
      <c r="B220" s="91">
        <v>77</v>
      </c>
      <c r="C220" s="160" t="s">
        <v>288</v>
      </c>
      <c r="D220" s="54">
        <v>1963</v>
      </c>
      <c r="E220" s="55"/>
      <c r="F220" s="55" t="s">
        <v>25</v>
      </c>
      <c r="G220" s="55">
        <v>4</v>
      </c>
      <c r="H220" s="55">
        <v>4</v>
      </c>
      <c r="I220" s="41">
        <v>2729.4</v>
      </c>
      <c r="J220" s="41">
        <v>2533.4</v>
      </c>
      <c r="K220" s="41">
        <f>J220-127.9</f>
        <v>2405.5</v>
      </c>
      <c r="L220" s="106">
        <v>154</v>
      </c>
      <c r="M220" s="53">
        <v>1701968</v>
      </c>
      <c r="N220" s="41">
        <v>0</v>
      </c>
      <c r="O220" s="41">
        <v>0</v>
      </c>
      <c r="P220" s="41">
        <f t="shared" ref="P220:P251" si="89">M220</f>
        <v>1701968</v>
      </c>
      <c r="Q220" s="41">
        <v>0</v>
      </c>
      <c r="R220" s="41">
        <v>0</v>
      </c>
      <c r="S220" s="41">
        <f t="shared" ref="S220" si="90">M220/J220</f>
        <v>671.81179442646248</v>
      </c>
      <c r="T220" s="53">
        <v>7920</v>
      </c>
      <c r="U220" s="90" t="s">
        <v>174</v>
      </c>
    </row>
    <row r="221" spans="2:21" s="44" customFormat="1" x14ac:dyDescent="0.25">
      <c r="B221" s="91">
        <v>78</v>
      </c>
      <c r="C221" s="160" t="s">
        <v>289</v>
      </c>
      <c r="D221" s="54">
        <v>1937</v>
      </c>
      <c r="E221" s="55"/>
      <c r="F221" s="55" t="s">
        <v>25</v>
      </c>
      <c r="G221" s="55">
        <v>4</v>
      </c>
      <c r="H221" s="55">
        <v>4</v>
      </c>
      <c r="I221" s="41">
        <v>2706</v>
      </c>
      <c r="J221" s="41">
        <v>2353.1</v>
      </c>
      <c r="K221" s="41">
        <f>J221-144.9</f>
        <v>2208.1999999999998</v>
      </c>
      <c r="L221" s="106">
        <v>122</v>
      </c>
      <c r="M221" s="41">
        <v>3568952</v>
      </c>
      <c r="N221" s="41">
        <v>0</v>
      </c>
      <c r="O221" s="41">
        <v>0</v>
      </c>
      <c r="P221" s="41">
        <f t="shared" si="89"/>
        <v>3568952</v>
      </c>
      <c r="Q221" s="41">
        <v>0</v>
      </c>
      <c r="R221" s="41">
        <v>0</v>
      </c>
      <c r="S221" s="41">
        <f t="shared" ref="S221" si="91">M221/J221</f>
        <v>1516.7022225999744</v>
      </c>
      <c r="T221" s="53">
        <v>7920</v>
      </c>
      <c r="U221" s="90" t="s">
        <v>174</v>
      </c>
    </row>
    <row r="222" spans="2:21" s="44" customFormat="1" x14ac:dyDescent="0.25">
      <c r="B222" s="89">
        <v>79</v>
      </c>
      <c r="C222" s="160" t="s">
        <v>290</v>
      </c>
      <c r="D222" s="54">
        <v>1978</v>
      </c>
      <c r="E222" s="55"/>
      <c r="F222" s="55" t="s">
        <v>24</v>
      </c>
      <c r="G222" s="55">
        <v>9</v>
      </c>
      <c r="H222" s="55">
        <v>2</v>
      </c>
      <c r="I222" s="41">
        <v>5906.9</v>
      </c>
      <c r="J222" s="41">
        <v>5391.4</v>
      </c>
      <c r="K222" s="41">
        <f>J222-246.2</f>
        <v>5145.2</v>
      </c>
      <c r="L222" s="106">
        <v>246</v>
      </c>
      <c r="M222" s="41">
        <v>3342485</v>
      </c>
      <c r="N222" s="41">
        <v>0</v>
      </c>
      <c r="O222" s="41">
        <v>0</v>
      </c>
      <c r="P222" s="41">
        <f t="shared" si="89"/>
        <v>3342485</v>
      </c>
      <c r="Q222" s="41">
        <v>0</v>
      </c>
      <c r="R222" s="41">
        <v>0</v>
      </c>
      <c r="S222" s="41">
        <f t="shared" ref="S222" si="92">M222/J222</f>
        <v>619.96605705382649</v>
      </c>
      <c r="T222" s="53">
        <v>7920</v>
      </c>
      <c r="U222" s="90" t="s">
        <v>174</v>
      </c>
    </row>
    <row r="223" spans="2:21" s="44" customFormat="1" x14ac:dyDescent="0.25">
      <c r="B223" s="89">
        <v>80</v>
      </c>
      <c r="C223" s="160" t="s">
        <v>291</v>
      </c>
      <c r="D223" s="54">
        <v>1960</v>
      </c>
      <c r="E223" s="55"/>
      <c r="F223" s="55" t="s">
        <v>25</v>
      </c>
      <c r="G223" s="55">
        <v>4</v>
      </c>
      <c r="H223" s="55">
        <v>4</v>
      </c>
      <c r="I223" s="41">
        <v>2786</v>
      </c>
      <c r="J223" s="41">
        <v>2515.1999999999998</v>
      </c>
      <c r="K223" s="41">
        <f>J223-178.8</f>
        <v>2336.3999999999996</v>
      </c>
      <c r="L223" s="106">
        <v>132</v>
      </c>
      <c r="M223" s="53">
        <v>1174045</v>
      </c>
      <c r="N223" s="41">
        <v>0</v>
      </c>
      <c r="O223" s="41">
        <v>0</v>
      </c>
      <c r="P223" s="41">
        <f t="shared" si="89"/>
        <v>1174045</v>
      </c>
      <c r="Q223" s="41">
        <v>0</v>
      </c>
      <c r="R223" s="41">
        <v>0</v>
      </c>
      <c r="S223" s="41">
        <f t="shared" ref="S223" si="93">M223/J223</f>
        <v>466.77997773536902</v>
      </c>
      <c r="T223" s="53">
        <v>7920</v>
      </c>
      <c r="U223" s="90" t="s">
        <v>174</v>
      </c>
    </row>
    <row r="224" spans="2:21" s="44" customFormat="1" x14ac:dyDescent="0.25">
      <c r="B224" s="89">
        <v>81</v>
      </c>
      <c r="C224" s="160" t="s">
        <v>292</v>
      </c>
      <c r="D224" s="54">
        <v>1997</v>
      </c>
      <c r="E224" s="55"/>
      <c r="F224" s="55" t="s">
        <v>24</v>
      </c>
      <c r="G224" s="55">
        <v>10</v>
      </c>
      <c r="H224" s="55">
        <v>4</v>
      </c>
      <c r="I224" s="41">
        <v>10003.799999999999</v>
      </c>
      <c r="J224" s="41">
        <v>8939.5</v>
      </c>
      <c r="K224" s="41">
        <f>J224-539.3</f>
        <v>8400.2000000000007</v>
      </c>
      <c r="L224" s="106">
        <v>370</v>
      </c>
      <c r="M224" s="53">
        <v>6969833</v>
      </c>
      <c r="N224" s="41">
        <v>0</v>
      </c>
      <c r="O224" s="41">
        <v>0</v>
      </c>
      <c r="P224" s="41">
        <f t="shared" si="89"/>
        <v>6969833</v>
      </c>
      <c r="Q224" s="41">
        <v>0</v>
      </c>
      <c r="R224" s="41">
        <v>0</v>
      </c>
      <c r="S224" s="41">
        <f t="shared" ref="S224" si="94">M224/J224</f>
        <v>779.66698361205886</v>
      </c>
      <c r="T224" s="53">
        <v>7920</v>
      </c>
      <c r="U224" s="90" t="s">
        <v>174</v>
      </c>
    </row>
    <row r="225" spans="2:21" s="44" customFormat="1" x14ac:dyDescent="0.25">
      <c r="B225" s="91">
        <v>82</v>
      </c>
      <c r="C225" s="160" t="s">
        <v>293</v>
      </c>
      <c r="D225" s="54">
        <v>1964</v>
      </c>
      <c r="E225" s="55"/>
      <c r="F225" s="55" t="s">
        <v>25</v>
      </c>
      <c r="G225" s="55">
        <v>5</v>
      </c>
      <c r="H225" s="55">
        <v>3</v>
      </c>
      <c r="I225" s="41">
        <v>2675.1</v>
      </c>
      <c r="J225" s="41">
        <v>2492.5</v>
      </c>
      <c r="K225" s="41">
        <f>J225-275.6-44.5</f>
        <v>2172.4</v>
      </c>
      <c r="L225" s="106">
        <v>76</v>
      </c>
      <c r="M225" s="53">
        <v>2127173</v>
      </c>
      <c r="N225" s="41">
        <v>0</v>
      </c>
      <c r="O225" s="41">
        <v>0</v>
      </c>
      <c r="P225" s="41">
        <f t="shared" si="89"/>
        <v>2127173</v>
      </c>
      <c r="Q225" s="41">
        <v>0</v>
      </c>
      <c r="R225" s="41">
        <v>0</v>
      </c>
      <c r="S225" s="41">
        <f t="shared" ref="S225" si="95">M225/J225</f>
        <v>853.42948846539616</v>
      </c>
      <c r="T225" s="53">
        <v>7920</v>
      </c>
      <c r="U225" s="90" t="s">
        <v>174</v>
      </c>
    </row>
    <row r="226" spans="2:21" s="44" customFormat="1" x14ac:dyDescent="0.25">
      <c r="B226" s="91">
        <v>83</v>
      </c>
      <c r="C226" s="160" t="s">
        <v>294</v>
      </c>
      <c r="D226" s="54">
        <v>1917</v>
      </c>
      <c r="E226" s="55"/>
      <c r="F226" s="55" t="s">
        <v>25</v>
      </c>
      <c r="G226" s="55">
        <v>2</v>
      </c>
      <c r="H226" s="55">
        <v>2</v>
      </c>
      <c r="I226" s="41">
        <v>683.5</v>
      </c>
      <c r="J226" s="41">
        <v>540.70000000000005</v>
      </c>
      <c r="K226" s="41">
        <f>J226</f>
        <v>540.70000000000005</v>
      </c>
      <c r="L226" s="106">
        <v>12</v>
      </c>
      <c r="M226" s="53">
        <v>1418636</v>
      </c>
      <c r="N226" s="41">
        <v>0</v>
      </c>
      <c r="O226" s="41">
        <v>0</v>
      </c>
      <c r="P226" s="41">
        <f t="shared" si="89"/>
        <v>1418636</v>
      </c>
      <c r="Q226" s="41">
        <v>0</v>
      </c>
      <c r="R226" s="41">
        <v>0</v>
      </c>
      <c r="S226" s="41">
        <f t="shared" ref="S226" si="96">M226/J226</f>
        <v>2623.7026077307191</v>
      </c>
      <c r="T226" s="53">
        <v>7920</v>
      </c>
      <c r="U226" s="90" t="s">
        <v>174</v>
      </c>
    </row>
    <row r="227" spans="2:21" s="44" customFormat="1" x14ac:dyDescent="0.25">
      <c r="B227" s="89">
        <v>84</v>
      </c>
      <c r="C227" s="160" t="s">
        <v>295</v>
      </c>
      <c r="D227" s="54">
        <v>1986</v>
      </c>
      <c r="E227" s="55"/>
      <c r="F227" s="55" t="s">
        <v>24</v>
      </c>
      <c r="G227" s="55">
        <v>5</v>
      </c>
      <c r="H227" s="55">
        <v>5</v>
      </c>
      <c r="I227" s="41">
        <v>4332.3</v>
      </c>
      <c r="J227" s="41">
        <v>4058.9</v>
      </c>
      <c r="K227" s="41">
        <f>J227-58</f>
        <v>4000.9</v>
      </c>
      <c r="L227" s="106">
        <v>122</v>
      </c>
      <c r="M227" s="53">
        <v>2605172</v>
      </c>
      <c r="N227" s="41">
        <v>0</v>
      </c>
      <c r="O227" s="41">
        <v>0</v>
      </c>
      <c r="P227" s="41">
        <f t="shared" si="89"/>
        <v>2605172</v>
      </c>
      <c r="Q227" s="41">
        <v>0</v>
      </c>
      <c r="R227" s="41">
        <v>0</v>
      </c>
      <c r="S227" s="41">
        <f t="shared" ref="S227" si="97">M227/J227</f>
        <v>641.84187834142256</v>
      </c>
      <c r="T227" s="53">
        <v>7920</v>
      </c>
      <c r="U227" s="90" t="s">
        <v>174</v>
      </c>
    </row>
    <row r="228" spans="2:21" s="44" customFormat="1" x14ac:dyDescent="0.25">
      <c r="B228" s="89">
        <v>85</v>
      </c>
      <c r="C228" s="160" t="s">
        <v>296</v>
      </c>
      <c r="D228" s="54">
        <v>1967</v>
      </c>
      <c r="E228" s="55"/>
      <c r="F228" s="55" t="s">
        <v>24</v>
      </c>
      <c r="G228" s="55">
        <v>5</v>
      </c>
      <c r="H228" s="55">
        <v>6</v>
      </c>
      <c r="I228" s="41">
        <v>4806.5</v>
      </c>
      <c r="J228" s="41">
        <v>4343.6000000000004</v>
      </c>
      <c r="K228" s="41">
        <f>J228-269.2</f>
        <v>4074.4000000000005</v>
      </c>
      <c r="L228" s="106">
        <v>169</v>
      </c>
      <c r="M228" s="53">
        <v>2870788</v>
      </c>
      <c r="N228" s="41">
        <v>0</v>
      </c>
      <c r="O228" s="41">
        <v>0</v>
      </c>
      <c r="P228" s="41">
        <f t="shared" si="89"/>
        <v>2870788</v>
      </c>
      <c r="Q228" s="41">
        <v>0</v>
      </c>
      <c r="R228" s="41">
        <v>0</v>
      </c>
      <c r="S228" s="41">
        <f t="shared" ref="S228" si="98">M228/J228</f>
        <v>660.92365779537704</v>
      </c>
      <c r="T228" s="53">
        <v>7920</v>
      </c>
      <c r="U228" s="90" t="s">
        <v>174</v>
      </c>
    </row>
    <row r="229" spans="2:21" s="44" customFormat="1" x14ac:dyDescent="0.25">
      <c r="B229" s="89">
        <v>86</v>
      </c>
      <c r="C229" s="160" t="s">
        <v>297</v>
      </c>
      <c r="D229" s="54">
        <v>1937</v>
      </c>
      <c r="E229" s="55"/>
      <c r="F229" s="55" t="s">
        <v>25</v>
      </c>
      <c r="G229" s="55">
        <v>4</v>
      </c>
      <c r="H229" s="55">
        <v>4</v>
      </c>
      <c r="I229" s="41">
        <v>2732.9</v>
      </c>
      <c r="J229" s="41">
        <v>2413.1999999999998</v>
      </c>
      <c r="K229" s="41">
        <f>J229-178.8</f>
        <v>2234.3999999999996</v>
      </c>
      <c r="L229" s="106">
        <v>117</v>
      </c>
      <c r="M229" s="41">
        <v>9375811</v>
      </c>
      <c r="N229" s="41">
        <v>0</v>
      </c>
      <c r="O229" s="41">
        <v>0</v>
      </c>
      <c r="P229" s="41">
        <f t="shared" si="89"/>
        <v>9375811</v>
      </c>
      <c r="Q229" s="41">
        <v>0</v>
      </c>
      <c r="R229" s="41">
        <v>0</v>
      </c>
      <c r="S229" s="41">
        <f t="shared" ref="S229:S231" si="99">M229/J229</f>
        <v>3885.2192110061333</v>
      </c>
      <c r="T229" s="53">
        <v>7920</v>
      </c>
      <c r="U229" s="90" t="s">
        <v>174</v>
      </c>
    </row>
    <row r="230" spans="2:21" s="44" customFormat="1" x14ac:dyDescent="0.25">
      <c r="B230" s="91">
        <v>87</v>
      </c>
      <c r="C230" s="160" t="s">
        <v>298</v>
      </c>
      <c r="D230" s="54">
        <v>1938</v>
      </c>
      <c r="E230" s="55"/>
      <c r="F230" s="55" t="s">
        <v>25</v>
      </c>
      <c r="G230" s="55">
        <v>4</v>
      </c>
      <c r="H230" s="55">
        <v>4</v>
      </c>
      <c r="I230" s="41">
        <v>2728.2</v>
      </c>
      <c r="J230" s="41">
        <v>2405.8000000000002</v>
      </c>
      <c r="K230" s="41">
        <f>J230-102.2</f>
        <v>2303.6000000000004</v>
      </c>
      <c r="L230" s="106">
        <v>117</v>
      </c>
      <c r="M230" s="41">
        <v>10032917</v>
      </c>
      <c r="N230" s="41">
        <v>0</v>
      </c>
      <c r="O230" s="41">
        <v>0</v>
      </c>
      <c r="P230" s="41">
        <f t="shared" si="89"/>
        <v>10032917</v>
      </c>
      <c r="Q230" s="41">
        <v>0</v>
      </c>
      <c r="R230" s="41">
        <v>0</v>
      </c>
      <c r="S230" s="41">
        <f t="shared" si="99"/>
        <v>4170.3038490315066</v>
      </c>
      <c r="T230" s="53">
        <v>7920</v>
      </c>
      <c r="U230" s="90" t="s">
        <v>174</v>
      </c>
    </row>
    <row r="231" spans="2:21" s="44" customFormat="1" x14ac:dyDescent="0.25">
      <c r="B231" s="91">
        <v>88</v>
      </c>
      <c r="C231" s="160" t="s">
        <v>299</v>
      </c>
      <c r="D231" s="54">
        <v>1959</v>
      </c>
      <c r="E231" s="55"/>
      <c r="F231" s="55" t="s">
        <v>25</v>
      </c>
      <c r="G231" s="55">
        <v>4</v>
      </c>
      <c r="H231" s="55">
        <v>4</v>
      </c>
      <c r="I231" s="41">
        <v>2729</v>
      </c>
      <c r="J231" s="41">
        <v>2536.3000000000002</v>
      </c>
      <c r="K231" s="41">
        <f>J231-32.2</f>
        <v>2504.1000000000004</v>
      </c>
      <c r="L231" s="106">
        <v>190</v>
      </c>
      <c r="M231" s="41">
        <v>3275213</v>
      </c>
      <c r="N231" s="41">
        <v>0</v>
      </c>
      <c r="O231" s="41">
        <v>0</v>
      </c>
      <c r="P231" s="41">
        <f t="shared" si="89"/>
        <v>3275213</v>
      </c>
      <c r="Q231" s="41">
        <v>0</v>
      </c>
      <c r="R231" s="41">
        <v>0</v>
      </c>
      <c r="S231" s="41">
        <f t="shared" si="99"/>
        <v>1291.3350155738674</v>
      </c>
      <c r="T231" s="53">
        <v>7920</v>
      </c>
      <c r="U231" s="90" t="s">
        <v>174</v>
      </c>
    </row>
    <row r="232" spans="2:21" s="44" customFormat="1" x14ac:dyDescent="0.25">
      <c r="B232" s="89">
        <v>89</v>
      </c>
      <c r="C232" s="160" t="s">
        <v>300</v>
      </c>
      <c r="D232" s="54">
        <v>1971</v>
      </c>
      <c r="E232" s="55"/>
      <c r="F232" s="55" t="s">
        <v>25</v>
      </c>
      <c r="G232" s="55">
        <v>5</v>
      </c>
      <c r="H232" s="55">
        <v>4</v>
      </c>
      <c r="I232" s="41">
        <v>3601.8</v>
      </c>
      <c r="J232" s="41">
        <v>3359.2</v>
      </c>
      <c r="K232" s="41">
        <f>J232-151.8-328.2</f>
        <v>2879.2</v>
      </c>
      <c r="L232" s="106">
        <v>155</v>
      </c>
      <c r="M232" s="53">
        <v>3280210</v>
      </c>
      <c r="N232" s="41">
        <v>0</v>
      </c>
      <c r="O232" s="41">
        <v>0</v>
      </c>
      <c r="P232" s="41">
        <f t="shared" si="89"/>
        <v>3280210</v>
      </c>
      <c r="Q232" s="41">
        <v>0</v>
      </c>
      <c r="R232" s="41">
        <v>0</v>
      </c>
      <c r="S232" s="41">
        <f t="shared" ref="S232" si="100">M232/J232</f>
        <v>976.48547273160284</v>
      </c>
      <c r="T232" s="53">
        <v>7920</v>
      </c>
      <c r="U232" s="90" t="s">
        <v>174</v>
      </c>
    </row>
    <row r="233" spans="2:21" s="44" customFormat="1" x14ac:dyDescent="0.25">
      <c r="B233" s="89">
        <v>90</v>
      </c>
      <c r="C233" s="160" t="s">
        <v>301</v>
      </c>
      <c r="D233" s="54">
        <v>1970</v>
      </c>
      <c r="E233" s="55"/>
      <c r="F233" s="55" t="s">
        <v>25</v>
      </c>
      <c r="G233" s="55">
        <v>5</v>
      </c>
      <c r="H233" s="55">
        <v>4</v>
      </c>
      <c r="I233" s="41">
        <v>3672.3</v>
      </c>
      <c r="J233" s="41">
        <v>3400.1</v>
      </c>
      <c r="K233" s="41">
        <f>J233-96.8-310.4</f>
        <v>2992.8999999999996</v>
      </c>
      <c r="L233" s="106">
        <v>159</v>
      </c>
      <c r="M233" s="53">
        <v>3140751</v>
      </c>
      <c r="N233" s="41">
        <v>0</v>
      </c>
      <c r="O233" s="41">
        <v>0</v>
      </c>
      <c r="P233" s="41">
        <f t="shared" si="89"/>
        <v>3140751</v>
      </c>
      <c r="Q233" s="41">
        <v>0</v>
      </c>
      <c r="R233" s="41">
        <v>0</v>
      </c>
      <c r="S233" s="41">
        <f t="shared" ref="S233" si="101">M233/J233</f>
        <v>923.72312579041795</v>
      </c>
      <c r="T233" s="53">
        <v>7920</v>
      </c>
      <c r="U233" s="90" t="s">
        <v>174</v>
      </c>
    </row>
    <row r="234" spans="2:21" s="44" customFormat="1" x14ac:dyDescent="0.25">
      <c r="B234" s="89">
        <v>91</v>
      </c>
      <c r="C234" s="160" t="s">
        <v>302</v>
      </c>
      <c r="D234" s="54">
        <v>1988</v>
      </c>
      <c r="E234" s="55"/>
      <c r="F234" s="55" t="s">
        <v>24</v>
      </c>
      <c r="G234" s="55">
        <v>12</v>
      </c>
      <c r="H234" s="55">
        <v>1</v>
      </c>
      <c r="I234" s="41">
        <v>4377.8</v>
      </c>
      <c r="J234" s="41">
        <v>3511.3</v>
      </c>
      <c r="K234" s="41">
        <v>3511.3</v>
      </c>
      <c r="L234" s="106">
        <v>163</v>
      </c>
      <c r="M234" s="41">
        <v>3932928</v>
      </c>
      <c r="N234" s="41">
        <v>0</v>
      </c>
      <c r="O234" s="41">
        <v>0</v>
      </c>
      <c r="P234" s="41">
        <f t="shared" si="89"/>
        <v>3932928</v>
      </c>
      <c r="Q234" s="41">
        <v>0</v>
      </c>
      <c r="R234" s="41">
        <v>0</v>
      </c>
      <c r="S234" s="41">
        <f t="shared" ref="S234" si="102">M234/J234</f>
        <v>1120.0774641870532</v>
      </c>
      <c r="T234" s="53">
        <v>7920</v>
      </c>
      <c r="U234" s="90" t="s">
        <v>174</v>
      </c>
    </row>
    <row r="235" spans="2:21" s="44" customFormat="1" x14ac:dyDescent="0.25">
      <c r="B235" s="91">
        <v>92</v>
      </c>
      <c r="C235" s="160" t="s">
        <v>303</v>
      </c>
      <c r="D235" s="54">
        <v>1957</v>
      </c>
      <c r="E235" s="55"/>
      <c r="F235" s="55" t="s">
        <v>25</v>
      </c>
      <c r="G235" s="55">
        <v>4</v>
      </c>
      <c r="H235" s="55">
        <v>3</v>
      </c>
      <c r="I235" s="41">
        <v>3313.9</v>
      </c>
      <c r="J235" s="41">
        <v>2501.3000000000002</v>
      </c>
      <c r="K235" s="41">
        <f>J235-58.9</f>
        <v>2442.4</v>
      </c>
      <c r="L235" s="106">
        <v>103</v>
      </c>
      <c r="M235" s="41">
        <v>1922176</v>
      </c>
      <c r="N235" s="41">
        <v>0</v>
      </c>
      <c r="O235" s="41">
        <v>0</v>
      </c>
      <c r="P235" s="41">
        <f t="shared" si="89"/>
        <v>1922176</v>
      </c>
      <c r="Q235" s="41">
        <v>0</v>
      </c>
      <c r="R235" s="41">
        <v>0</v>
      </c>
      <c r="S235" s="41">
        <f t="shared" ref="S235" si="103">M235/J235</f>
        <v>768.47079518650298</v>
      </c>
      <c r="T235" s="53">
        <v>7920</v>
      </c>
      <c r="U235" s="90" t="s">
        <v>174</v>
      </c>
    </row>
    <row r="236" spans="2:21" s="44" customFormat="1" x14ac:dyDescent="0.25">
      <c r="B236" s="91">
        <v>93</v>
      </c>
      <c r="C236" s="160" t="s">
        <v>304</v>
      </c>
      <c r="D236" s="54">
        <v>1981</v>
      </c>
      <c r="E236" s="55"/>
      <c r="F236" s="55" t="s">
        <v>24</v>
      </c>
      <c r="G236" s="55">
        <v>9</v>
      </c>
      <c r="H236" s="55">
        <v>2</v>
      </c>
      <c r="I236" s="41">
        <v>5604</v>
      </c>
      <c r="J236" s="41">
        <v>5013.3999999999996</v>
      </c>
      <c r="K236" s="41">
        <f>J236-183.7</f>
        <v>4829.7</v>
      </c>
      <c r="L236" s="106">
        <v>198</v>
      </c>
      <c r="M236" s="41">
        <v>3919687</v>
      </c>
      <c r="N236" s="41">
        <v>0</v>
      </c>
      <c r="O236" s="41">
        <v>0</v>
      </c>
      <c r="P236" s="41">
        <f t="shared" si="89"/>
        <v>3919687</v>
      </c>
      <c r="Q236" s="41">
        <v>0</v>
      </c>
      <c r="R236" s="41">
        <v>0</v>
      </c>
      <c r="S236" s="41">
        <f t="shared" ref="S236" si="104">M236/J236</f>
        <v>781.84206327043535</v>
      </c>
      <c r="T236" s="53">
        <v>7920</v>
      </c>
      <c r="U236" s="90" t="s">
        <v>174</v>
      </c>
    </row>
    <row r="237" spans="2:21" s="44" customFormat="1" x14ac:dyDescent="0.25">
      <c r="B237" s="89">
        <v>94</v>
      </c>
      <c r="C237" s="160" t="s">
        <v>374</v>
      </c>
      <c r="D237" s="54">
        <v>1960</v>
      </c>
      <c r="E237" s="55"/>
      <c r="F237" s="55" t="s">
        <v>25</v>
      </c>
      <c r="G237" s="55">
        <v>2</v>
      </c>
      <c r="H237" s="55">
        <v>1</v>
      </c>
      <c r="I237" s="41">
        <v>306.10000000000002</v>
      </c>
      <c r="J237" s="41">
        <v>284.2</v>
      </c>
      <c r="K237" s="41">
        <f>J237-38.2</f>
        <v>246</v>
      </c>
      <c r="L237" s="106">
        <v>18</v>
      </c>
      <c r="M237" s="41">
        <v>807803</v>
      </c>
      <c r="N237" s="41">
        <v>0</v>
      </c>
      <c r="O237" s="41">
        <v>0</v>
      </c>
      <c r="P237" s="41">
        <f t="shared" si="89"/>
        <v>807803</v>
      </c>
      <c r="Q237" s="41">
        <v>0</v>
      </c>
      <c r="R237" s="41">
        <v>0</v>
      </c>
      <c r="S237" s="41">
        <f t="shared" ref="S237" si="105">M237/J237</f>
        <v>2842.3750879662211</v>
      </c>
      <c r="T237" s="53">
        <v>7920</v>
      </c>
      <c r="U237" s="90" t="s">
        <v>174</v>
      </c>
    </row>
    <row r="238" spans="2:21" s="44" customFormat="1" x14ac:dyDescent="0.25">
      <c r="B238" s="89">
        <v>95</v>
      </c>
      <c r="C238" s="163" t="s">
        <v>305</v>
      </c>
      <c r="D238" s="54">
        <v>1925</v>
      </c>
      <c r="E238" s="55"/>
      <c r="F238" s="55" t="s">
        <v>48</v>
      </c>
      <c r="G238" s="55">
        <v>2</v>
      </c>
      <c r="H238" s="55">
        <v>2</v>
      </c>
      <c r="I238" s="41">
        <v>449.2</v>
      </c>
      <c r="J238" s="41">
        <v>404.2</v>
      </c>
      <c r="K238" s="41">
        <f>J238-50.2</f>
        <v>354</v>
      </c>
      <c r="L238" s="106">
        <v>24</v>
      </c>
      <c r="M238" s="41">
        <v>2097582</v>
      </c>
      <c r="N238" s="41">
        <v>0</v>
      </c>
      <c r="O238" s="41">
        <v>0</v>
      </c>
      <c r="P238" s="41">
        <f t="shared" si="89"/>
        <v>2097582</v>
      </c>
      <c r="Q238" s="41">
        <v>0</v>
      </c>
      <c r="R238" s="41">
        <v>0</v>
      </c>
      <c r="S238" s="41">
        <f t="shared" ref="S238" si="106">M238/J238</f>
        <v>5189.4656110836222</v>
      </c>
      <c r="T238" s="53">
        <v>7920</v>
      </c>
      <c r="U238" s="90" t="s">
        <v>174</v>
      </c>
    </row>
    <row r="239" spans="2:21" s="44" customFormat="1" x14ac:dyDescent="0.25">
      <c r="B239" s="89">
        <v>96</v>
      </c>
      <c r="C239" s="160" t="s">
        <v>306</v>
      </c>
      <c r="D239" s="54">
        <v>1925</v>
      </c>
      <c r="E239" s="55"/>
      <c r="F239" s="55" t="s">
        <v>48</v>
      </c>
      <c r="G239" s="55">
        <v>2</v>
      </c>
      <c r="H239" s="55">
        <v>2</v>
      </c>
      <c r="I239" s="41">
        <v>441.1</v>
      </c>
      <c r="J239" s="41">
        <v>395.6</v>
      </c>
      <c r="K239" s="41">
        <f>J239-246.9</f>
        <v>148.70000000000002</v>
      </c>
      <c r="L239" s="106">
        <v>28</v>
      </c>
      <c r="M239" s="53">
        <v>1010192</v>
      </c>
      <c r="N239" s="41">
        <v>0</v>
      </c>
      <c r="O239" s="41">
        <v>0</v>
      </c>
      <c r="P239" s="41">
        <f t="shared" si="89"/>
        <v>1010192</v>
      </c>
      <c r="Q239" s="41">
        <v>0</v>
      </c>
      <c r="R239" s="41">
        <v>0</v>
      </c>
      <c r="S239" s="41">
        <f t="shared" ref="S239" si="107">M239/J239</f>
        <v>2553.5692618806875</v>
      </c>
      <c r="T239" s="53">
        <v>7920</v>
      </c>
      <c r="U239" s="90" t="s">
        <v>174</v>
      </c>
    </row>
    <row r="240" spans="2:21" s="44" customFormat="1" x14ac:dyDescent="0.25">
      <c r="B240" s="91">
        <v>97</v>
      </c>
      <c r="C240" s="164" t="s">
        <v>307</v>
      </c>
      <c r="D240" s="54">
        <v>1958</v>
      </c>
      <c r="E240" s="55"/>
      <c r="F240" s="55" t="s">
        <v>25</v>
      </c>
      <c r="G240" s="55">
        <v>2</v>
      </c>
      <c r="H240" s="55">
        <v>1</v>
      </c>
      <c r="I240" s="41">
        <v>452.7</v>
      </c>
      <c r="J240" s="41">
        <v>413.2</v>
      </c>
      <c r="K240" s="41">
        <f>J240</f>
        <v>413.2</v>
      </c>
      <c r="L240" s="106">
        <v>23</v>
      </c>
      <c r="M240" s="53">
        <v>211148</v>
      </c>
      <c r="N240" s="41">
        <v>0</v>
      </c>
      <c r="O240" s="41">
        <v>0</v>
      </c>
      <c r="P240" s="41">
        <f t="shared" si="89"/>
        <v>211148</v>
      </c>
      <c r="Q240" s="41">
        <v>0</v>
      </c>
      <c r="R240" s="41">
        <v>0</v>
      </c>
      <c r="S240" s="41">
        <f t="shared" ref="S240" si="108">M240/J240</f>
        <v>511.00677637947729</v>
      </c>
      <c r="T240" s="53">
        <v>7920</v>
      </c>
      <c r="U240" s="90" t="s">
        <v>174</v>
      </c>
    </row>
    <row r="241" spans="2:21" s="44" customFormat="1" x14ac:dyDescent="0.25">
      <c r="B241" s="91">
        <v>98</v>
      </c>
      <c r="C241" s="160" t="s">
        <v>308</v>
      </c>
      <c r="D241" s="54">
        <v>1983</v>
      </c>
      <c r="E241" s="55"/>
      <c r="F241" s="55" t="s">
        <v>24</v>
      </c>
      <c r="G241" s="55">
        <v>9</v>
      </c>
      <c r="H241" s="55">
        <v>8</v>
      </c>
      <c r="I241" s="41">
        <v>17938.599999999999</v>
      </c>
      <c r="J241" s="41">
        <v>16141.5</v>
      </c>
      <c r="K241" s="41">
        <f>J241-608.2</f>
        <v>15533.3</v>
      </c>
      <c r="L241" s="106">
        <v>632</v>
      </c>
      <c r="M241" s="41">
        <v>5492477</v>
      </c>
      <c r="N241" s="41">
        <v>0</v>
      </c>
      <c r="O241" s="41">
        <v>0</v>
      </c>
      <c r="P241" s="41">
        <f t="shared" si="89"/>
        <v>5492477</v>
      </c>
      <c r="Q241" s="41">
        <v>0</v>
      </c>
      <c r="R241" s="41">
        <v>0</v>
      </c>
      <c r="S241" s="41">
        <f t="shared" ref="S241" si="109">M241/J241</f>
        <v>340.27054486881639</v>
      </c>
      <c r="T241" s="53">
        <v>7920</v>
      </c>
      <c r="U241" s="90" t="s">
        <v>174</v>
      </c>
    </row>
    <row r="242" spans="2:21" s="44" customFormat="1" x14ac:dyDescent="0.25">
      <c r="B242" s="89">
        <v>99</v>
      </c>
      <c r="C242" s="165" t="s">
        <v>309</v>
      </c>
      <c r="D242" s="54">
        <v>1957</v>
      </c>
      <c r="E242" s="55"/>
      <c r="F242" s="55" t="s">
        <v>25</v>
      </c>
      <c r="G242" s="55">
        <v>3</v>
      </c>
      <c r="H242" s="55">
        <v>3</v>
      </c>
      <c r="I242" s="41">
        <v>2389</v>
      </c>
      <c r="J242" s="41">
        <v>2345.1999999999998</v>
      </c>
      <c r="K242" s="41">
        <f>J242</f>
        <v>2345.1999999999998</v>
      </c>
      <c r="L242" s="106">
        <v>49</v>
      </c>
      <c r="M242" s="53">
        <v>777129</v>
      </c>
      <c r="N242" s="41">
        <v>0</v>
      </c>
      <c r="O242" s="41">
        <v>0</v>
      </c>
      <c r="P242" s="41">
        <f t="shared" si="89"/>
        <v>777129</v>
      </c>
      <c r="Q242" s="41">
        <v>0</v>
      </c>
      <c r="R242" s="41">
        <v>0</v>
      </c>
      <c r="S242" s="41">
        <f t="shared" ref="S242" si="110">M242/J242</f>
        <v>331.37003240661778</v>
      </c>
      <c r="T242" s="53">
        <v>7920</v>
      </c>
      <c r="U242" s="90" t="s">
        <v>174</v>
      </c>
    </row>
    <row r="243" spans="2:21" s="44" customFormat="1" x14ac:dyDescent="0.25">
      <c r="B243" s="89">
        <v>100</v>
      </c>
      <c r="C243" s="160" t="s">
        <v>193</v>
      </c>
      <c r="D243" s="54">
        <v>1987</v>
      </c>
      <c r="E243" s="55"/>
      <c r="F243" s="55" t="s">
        <v>25</v>
      </c>
      <c r="G243" s="55">
        <v>9</v>
      </c>
      <c r="H243" s="55">
        <v>1</v>
      </c>
      <c r="I243" s="41">
        <v>3480.6</v>
      </c>
      <c r="J243" s="41">
        <v>3218.6</v>
      </c>
      <c r="K243" s="41">
        <f>J243-26.6</f>
        <v>3192</v>
      </c>
      <c r="L243" s="106">
        <v>136</v>
      </c>
      <c r="M243" s="53">
        <v>1353361</v>
      </c>
      <c r="N243" s="41">
        <v>0</v>
      </c>
      <c r="O243" s="41">
        <v>0</v>
      </c>
      <c r="P243" s="41">
        <f t="shared" si="89"/>
        <v>1353361</v>
      </c>
      <c r="Q243" s="41">
        <v>0</v>
      </c>
      <c r="R243" s="41">
        <v>0</v>
      </c>
      <c r="S243" s="41">
        <f t="shared" ref="S243" si="111">M243/J243</f>
        <v>420.48126514633691</v>
      </c>
      <c r="T243" s="53">
        <v>7920</v>
      </c>
      <c r="U243" s="90" t="s">
        <v>174</v>
      </c>
    </row>
    <row r="244" spans="2:21" s="44" customFormat="1" x14ac:dyDescent="0.25">
      <c r="B244" s="89">
        <v>101</v>
      </c>
      <c r="C244" s="160" t="s">
        <v>384</v>
      </c>
      <c r="D244" s="54">
        <v>1990</v>
      </c>
      <c r="E244" s="55"/>
      <c r="F244" s="55" t="s">
        <v>24</v>
      </c>
      <c r="G244" s="55">
        <v>9</v>
      </c>
      <c r="H244" s="55">
        <v>1</v>
      </c>
      <c r="I244" s="41">
        <v>4153.1000000000004</v>
      </c>
      <c r="J244" s="41">
        <v>3872.6</v>
      </c>
      <c r="K244" s="41">
        <f>J244-37.1-298.8</f>
        <v>3536.7</v>
      </c>
      <c r="L244" s="106">
        <v>168</v>
      </c>
      <c r="M244" s="41">
        <v>4456772</v>
      </c>
      <c r="N244" s="41">
        <v>0</v>
      </c>
      <c r="O244" s="41">
        <v>0</v>
      </c>
      <c r="P244" s="41">
        <f t="shared" si="89"/>
        <v>4456772</v>
      </c>
      <c r="Q244" s="41">
        <v>0</v>
      </c>
      <c r="R244" s="41">
        <v>0</v>
      </c>
      <c r="S244" s="41">
        <f t="shared" ref="S244:S245" si="112">M244/J244</f>
        <v>1150.8474926406031</v>
      </c>
      <c r="T244" s="53">
        <v>7920</v>
      </c>
      <c r="U244" s="90" t="s">
        <v>174</v>
      </c>
    </row>
    <row r="245" spans="2:21" s="44" customFormat="1" x14ac:dyDescent="0.25">
      <c r="B245" s="91">
        <v>102</v>
      </c>
      <c r="C245" s="160" t="s">
        <v>310</v>
      </c>
      <c r="D245" s="54">
        <v>1979</v>
      </c>
      <c r="E245" s="55"/>
      <c r="F245" s="55" t="s">
        <v>25</v>
      </c>
      <c r="G245" s="55">
        <v>9</v>
      </c>
      <c r="H245" s="55">
        <v>2</v>
      </c>
      <c r="I245" s="41">
        <v>5697.2</v>
      </c>
      <c r="J245" s="41">
        <v>5360.9</v>
      </c>
      <c r="K245" s="41">
        <f>J245-143.4</f>
        <v>5217.5</v>
      </c>
      <c r="L245" s="106">
        <v>205</v>
      </c>
      <c r="M245" s="41">
        <v>3922227</v>
      </c>
      <c r="N245" s="41">
        <v>0</v>
      </c>
      <c r="O245" s="41">
        <v>0</v>
      </c>
      <c r="P245" s="41">
        <f t="shared" si="89"/>
        <v>3922227</v>
      </c>
      <c r="Q245" s="41">
        <v>0</v>
      </c>
      <c r="R245" s="41">
        <v>0</v>
      </c>
      <c r="S245" s="41">
        <f t="shared" si="112"/>
        <v>731.63591934190163</v>
      </c>
      <c r="T245" s="53">
        <v>7920</v>
      </c>
      <c r="U245" s="90" t="s">
        <v>174</v>
      </c>
    </row>
    <row r="246" spans="2:21" s="44" customFormat="1" x14ac:dyDescent="0.25">
      <c r="B246" s="91">
        <v>103</v>
      </c>
      <c r="C246" s="160" t="s">
        <v>311</v>
      </c>
      <c r="D246" s="54">
        <v>1974</v>
      </c>
      <c r="E246" s="55"/>
      <c r="F246" s="55" t="s">
        <v>24</v>
      </c>
      <c r="G246" s="55">
        <v>9</v>
      </c>
      <c r="H246" s="55">
        <v>6</v>
      </c>
      <c r="I246" s="41">
        <v>13115.8</v>
      </c>
      <c r="J246" s="41">
        <v>11295.5</v>
      </c>
      <c r="K246" s="41">
        <f>J246-399.3</f>
        <v>10896.2</v>
      </c>
      <c r="L246" s="106">
        <v>557</v>
      </c>
      <c r="M246" s="41">
        <v>12879226</v>
      </c>
      <c r="N246" s="41">
        <v>0</v>
      </c>
      <c r="O246" s="41">
        <v>0</v>
      </c>
      <c r="P246" s="41">
        <f t="shared" si="89"/>
        <v>12879226</v>
      </c>
      <c r="Q246" s="41">
        <v>0</v>
      </c>
      <c r="R246" s="41">
        <v>0</v>
      </c>
      <c r="S246" s="41">
        <f t="shared" ref="S246" si="113">M246/J246</f>
        <v>1140.2085786375105</v>
      </c>
      <c r="T246" s="53">
        <v>7920</v>
      </c>
      <c r="U246" s="90" t="s">
        <v>174</v>
      </c>
    </row>
    <row r="247" spans="2:21" s="44" customFormat="1" x14ac:dyDescent="0.25">
      <c r="B247" s="89">
        <v>104</v>
      </c>
      <c r="C247" s="165" t="s">
        <v>312</v>
      </c>
      <c r="D247" s="54">
        <v>1993</v>
      </c>
      <c r="E247" s="55"/>
      <c r="F247" s="55" t="s">
        <v>24</v>
      </c>
      <c r="G247" s="55">
        <v>9</v>
      </c>
      <c r="H247" s="55">
        <v>1</v>
      </c>
      <c r="I247" s="41">
        <v>4039.7</v>
      </c>
      <c r="J247" s="41">
        <v>3822.5</v>
      </c>
      <c r="K247" s="41">
        <f>J247-481.3</f>
        <v>3341.2</v>
      </c>
      <c r="L247" s="106">
        <v>123</v>
      </c>
      <c r="M247" s="41">
        <v>2583706</v>
      </c>
      <c r="N247" s="41">
        <v>0</v>
      </c>
      <c r="O247" s="41">
        <v>0</v>
      </c>
      <c r="P247" s="41">
        <f t="shared" si="89"/>
        <v>2583706</v>
      </c>
      <c r="Q247" s="41">
        <v>0</v>
      </c>
      <c r="R247" s="41">
        <v>0</v>
      </c>
      <c r="S247" s="41">
        <f t="shared" ref="S247" si="114">M247/J247</f>
        <v>675.92047089601044</v>
      </c>
      <c r="T247" s="53">
        <v>7920</v>
      </c>
      <c r="U247" s="90" t="s">
        <v>174</v>
      </c>
    </row>
    <row r="248" spans="2:21" s="44" customFormat="1" x14ac:dyDescent="0.25">
      <c r="B248" s="89">
        <v>105</v>
      </c>
      <c r="C248" s="160" t="s">
        <v>313</v>
      </c>
      <c r="D248" s="54">
        <v>1975</v>
      </c>
      <c r="E248" s="55"/>
      <c r="F248" s="55" t="s">
        <v>24</v>
      </c>
      <c r="G248" s="55">
        <v>9</v>
      </c>
      <c r="H248" s="55">
        <v>3</v>
      </c>
      <c r="I248" s="41">
        <v>6504.8</v>
      </c>
      <c r="J248" s="41">
        <v>5785.6</v>
      </c>
      <c r="K248" s="41">
        <f>J248-145.9</f>
        <v>5639.7000000000007</v>
      </c>
      <c r="L248" s="106">
        <v>927</v>
      </c>
      <c r="M248" s="41">
        <v>7327447</v>
      </c>
      <c r="N248" s="41">
        <v>0</v>
      </c>
      <c r="O248" s="41">
        <v>0</v>
      </c>
      <c r="P248" s="41">
        <f t="shared" si="89"/>
        <v>7327447</v>
      </c>
      <c r="Q248" s="41">
        <v>0</v>
      </c>
      <c r="R248" s="41">
        <v>0</v>
      </c>
      <c r="S248" s="41">
        <f t="shared" ref="S248" si="115">M248/J248</f>
        <v>1266.4973382190265</v>
      </c>
      <c r="T248" s="53">
        <v>7920</v>
      </c>
      <c r="U248" s="90" t="s">
        <v>174</v>
      </c>
    </row>
    <row r="249" spans="2:21" s="44" customFormat="1" x14ac:dyDescent="0.25">
      <c r="B249" s="89">
        <v>106</v>
      </c>
      <c r="C249" s="160" t="s">
        <v>314</v>
      </c>
      <c r="D249" s="54">
        <v>1960</v>
      </c>
      <c r="E249" s="55"/>
      <c r="F249" s="55" t="s">
        <v>25</v>
      </c>
      <c r="G249" s="55">
        <v>4</v>
      </c>
      <c r="H249" s="55">
        <v>2</v>
      </c>
      <c r="I249" s="41">
        <v>1367.9</v>
      </c>
      <c r="J249" s="41">
        <v>1271.3</v>
      </c>
      <c r="K249" s="41">
        <f>J249-43.5</f>
        <v>1227.8</v>
      </c>
      <c r="L249" s="106">
        <v>47</v>
      </c>
      <c r="M249" s="53">
        <v>868822</v>
      </c>
      <c r="N249" s="41">
        <v>0</v>
      </c>
      <c r="O249" s="41">
        <v>0</v>
      </c>
      <c r="P249" s="41">
        <f t="shared" si="89"/>
        <v>868822</v>
      </c>
      <c r="Q249" s="41">
        <v>0</v>
      </c>
      <c r="R249" s="41">
        <v>0</v>
      </c>
      <c r="S249" s="41">
        <f t="shared" ref="S249" si="116">M249/J249</f>
        <v>683.41225517187138</v>
      </c>
      <c r="T249" s="53">
        <v>7920</v>
      </c>
      <c r="U249" s="90" t="s">
        <v>174</v>
      </c>
    </row>
    <row r="250" spans="2:21" s="44" customFormat="1" x14ac:dyDescent="0.25">
      <c r="B250" s="91">
        <v>107</v>
      </c>
      <c r="C250" s="166" t="s">
        <v>315</v>
      </c>
      <c r="D250" s="54">
        <v>1951</v>
      </c>
      <c r="E250" s="55"/>
      <c r="F250" s="55" t="s">
        <v>47</v>
      </c>
      <c r="G250" s="55">
        <v>2</v>
      </c>
      <c r="H250" s="55">
        <v>1</v>
      </c>
      <c r="I250" s="41">
        <v>559.9</v>
      </c>
      <c r="J250" s="41">
        <v>515.29999999999995</v>
      </c>
      <c r="K250" s="41">
        <f>J250-0</f>
        <v>515.29999999999995</v>
      </c>
      <c r="L250" s="106">
        <v>24</v>
      </c>
      <c r="M250" s="41">
        <v>1466735</v>
      </c>
      <c r="N250" s="41">
        <v>0</v>
      </c>
      <c r="O250" s="41">
        <v>0</v>
      </c>
      <c r="P250" s="41">
        <f t="shared" si="89"/>
        <v>1466735</v>
      </c>
      <c r="Q250" s="41">
        <v>0</v>
      </c>
      <c r="R250" s="41">
        <v>0</v>
      </c>
      <c r="S250" s="41">
        <f t="shared" ref="S250" si="117">M250/J250</f>
        <v>2846.371045992626</v>
      </c>
      <c r="T250" s="53">
        <v>7920</v>
      </c>
      <c r="U250" s="90" t="s">
        <v>174</v>
      </c>
    </row>
    <row r="251" spans="2:21" s="44" customFormat="1" x14ac:dyDescent="0.25">
      <c r="B251" s="91">
        <v>108</v>
      </c>
      <c r="C251" s="160" t="s">
        <v>316</v>
      </c>
      <c r="D251" s="54">
        <v>1951</v>
      </c>
      <c r="E251" s="55"/>
      <c r="F251" s="55" t="s">
        <v>47</v>
      </c>
      <c r="G251" s="55">
        <v>2</v>
      </c>
      <c r="H251" s="55">
        <v>3</v>
      </c>
      <c r="I251" s="41">
        <v>1448</v>
      </c>
      <c r="J251" s="41">
        <v>1395.9</v>
      </c>
      <c r="K251" s="41">
        <f>J251-184.8</f>
        <v>1211.1000000000001</v>
      </c>
      <c r="L251" s="106">
        <v>78</v>
      </c>
      <c r="M251" s="41">
        <v>1794824</v>
      </c>
      <c r="N251" s="41">
        <v>0</v>
      </c>
      <c r="O251" s="41">
        <v>0</v>
      </c>
      <c r="P251" s="41">
        <f t="shared" si="89"/>
        <v>1794824</v>
      </c>
      <c r="Q251" s="41">
        <v>0</v>
      </c>
      <c r="R251" s="41">
        <v>0</v>
      </c>
      <c r="S251" s="41">
        <f t="shared" ref="S251" si="118">M251/J251</f>
        <v>1285.7826491869043</v>
      </c>
      <c r="T251" s="53">
        <v>7920</v>
      </c>
      <c r="U251" s="90" t="s">
        <v>174</v>
      </c>
    </row>
    <row r="252" spans="2:21" s="44" customFormat="1" x14ac:dyDescent="0.25">
      <c r="B252" s="89">
        <v>109</v>
      </c>
      <c r="C252" s="160" t="s">
        <v>317</v>
      </c>
      <c r="D252" s="54">
        <v>1960</v>
      </c>
      <c r="E252" s="55"/>
      <c r="F252" s="55" t="s">
        <v>25</v>
      </c>
      <c r="G252" s="55">
        <v>2</v>
      </c>
      <c r="H252" s="55">
        <v>2</v>
      </c>
      <c r="I252" s="41">
        <v>684</v>
      </c>
      <c r="J252" s="41">
        <v>635.29999999999995</v>
      </c>
      <c r="K252" s="41">
        <f>J252-30.4</f>
        <v>604.9</v>
      </c>
      <c r="L252" s="106">
        <v>48</v>
      </c>
      <c r="M252" s="53">
        <v>1815954</v>
      </c>
      <c r="N252" s="41">
        <v>0</v>
      </c>
      <c r="O252" s="41">
        <v>0</v>
      </c>
      <c r="P252" s="41">
        <f t="shared" ref="P252:P283" si="119">M252</f>
        <v>1815954</v>
      </c>
      <c r="Q252" s="41">
        <v>0</v>
      </c>
      <c r="R252" s="41">
        <v>0</v>
      </c>
      <c r="S252" s="41">
        <f t="shared" ref="S252" si="120">M252/J252</f>
        <v>2858.4196442625534</v>
      </c>
      <c r="T252" s="53">
        <v>7920</v>
      </c>
      <c r="U252" s="90" t="s">
        <v>174</v>
      </c>
    </row>
    <row r="253" spans="2:21" s="44" customFormat="1" x14ac:dyDescent="0.25">
      <c r="B253" s="89">
        <v>110</v>
      </c>
      <c r="C253" s="163" t="s">
        <v>318</v>
      </c>
      <c r="D253" s="54">
        <v>1954</v>
      </c>
      <c r="E253" s="55"/>
      <c r="F253" s="55" t="s">
        <v>25</v>
      </c>
      <c r="G253" s="55">
        <v>2</v>
      </c>
      <c r="H253" s="55">
        <v>1</v>
      </c>
      <c r="I253" s="41">
        <v>288</v>
      </c>
      <c r="J253" s="41">
        <v>265.60000000000002</v>
      </c>
      <c r="K253" s="41">
        <f>J253-66.6</f>
        <v>199.00000000000003</v>
      </c>
      <c r="L253" s="106">
        <v>22</v>
      </c>
      <c r="M253" s="41">
        <v>1842648</v>
      </c>
      <c r="N253" s="41">
        <v>0</v>
      </c>
      <c r="O253" s="41">
        <v>0</v>
      </c>
      <c r="P253" s="41">
        <f t="shared" si="119"/>
        <v>1842648</v>
      </c>
      <c r="Q253" s="41">
        <v>0</v>
      </c>
      <c r="R253" s="41">
        <v>0</v>
      </c>
      <c r="S253" s="41">
        <f t="shared" ref="S253" si="121">M253/J253</f>
        <v>6937.6807228915659</v>
      </c>
      <c r="T253" s="53">
        <v>7920</v>
      </c>
      <c r="U253" s="90" t="s">
        <v>174</v>
      </c>
    </row>
    <row r="254" spans="2:21" s="44" customFormat="1" x14ac:dyDescent="0.25">
      <c r="B254" s="89">
        <v>111</v>
      </c>
      <c r="C254" s="160" t="s">
        <v>319</v>
      </c>
      <c r="D254" s="54">
        <v>1990</v>
      </c>
      <c r="E254" s="55"/>
      <c r="F254" s="55" t="s">
        <v>24</v>
      </c>
      <c r="G254" s="55">
        <v>10</v>
      </c>
      <c r="H254" s="55">
        <v>5</v>
      </c>
      <c r="I254" s="41">
        <v>12414.59</v>
      </c>
      <c r="J254" s="41">
        <v>10817.4</v>
      </c>
      <c r="K254" s="41">
        <f>J254-486.7</f>
        <v>10330.699999999999</v>
      </c>
      <c r="L254" s="106">
        <v>539</v>
      </c>
      <c r="M254" s="41">
        <v>9886188</v>
      </c>
      <c r="N254" s="41">
        <v>0</v>
      </c>
      <c r="O254" s="41">
        <v>0</v>
      </c>
      <c r="P254" s="41">
        <f t="shared" si="119"/>
        <v>9886188</v>
      </c>
      <c r="Q254" s="41">
        <v>0</v>
      </c>
      <c r="R254" s="41">
        <v>0</v>
      </c>
      <c r="S254" s="41">
        <f t="shared" ref="S254" si="122">M254/J254</f>
        <v>913.91535858894008</v>
      </c>
      <c r="T254" s="53">
        <v>7920</v>
      </c>
      <c r="U254" s="90" t="s">
        <v>174</v>
      </c>
    </row>
    <row r="255" spans="2:21" s="44" customFormat="1" x14ac:dyDescent="0.25">
      <c r="B255" s="91">
        <v>112</v>
      </c>
      <c r="C255" s="160" t="s">
        <v>320</v>
      </c>
      <c r="D255" s="54">
        <v>1959</v>
      </c>
      <c r="E255" s="55"/>
      <c r="F255" s="55" t="s">
        <v>25</v>
      </c>
      <c r="G255" s="55">
        <v>2</v>
      </c>
      <c r="H255" s="55">
        <v>2</v>
      </c>
      <c r="I255" s="41">
        <v>808.3</v>
      </c>
      <c r="J255" s="41">
        <v>741.9</v>
      </c>
      <c r="K255" s="41">
        <f>J255-74.1</f>
        <v>667.8</v>
      </c>
      <c r="L255" s="106">
        <v>30</v>
      </c>
      <c r="M255" s="53">
        <v>749258</v>
      </c>
      <c r="N255" s="41">
        <v>0</v>
      </c>
      <c r="O255" s="41">
        <v>0</v>
      </c>
      <c r="P255" s="41">
        <f t="shared" si="119"/>
        <v>749258</v>
      </c>
      <c r="Q255" s="41">
        <v>0</v>
      </c>
      <c r="R255" s="41">
        <v>0</v>
      </c>
      <c r="S255" s="41">
        <f t="shared" ref="S255" si="123">M255/J255</f>
        <v>1009.9177786763715</v>
      </c>
      <c r="T255" s="53">
        <v>7920</v>
      </c>
      <c r="U255" s="90" t="s">
        <v>174</v>
      </c>
    </row>
    <row r="256" spans="2:21" s="44" customFormat="1" x14ac:dyDescent="0.25">
      <c r="B256" s="91">
        <v>113</v>
      </c>
      <c r="C256" s="160" t="s">
        <v>321</v>
      </c>
      <c r="D256" s="54">
        <v>1961</v>
      </c>
      <c r="E256" s="55"/>
      <c r="F256" s="55" t="s">
        <v>25</v>
      </c>
      <c r="G256" s="55">
        <v>4</v>
      </c>
      <c r="H256" s="55">
        <v>4</v>
      </c>
      <c r="I256" s="41">
        <v>2718.7</v>
      </c>
      <c r="J256" s="41">
        <v>2528.1999999999998</v>
      </c>
      <c r="K256" s="41">
        <f>J256-72.4</f>
        <v>2455.7999999999997</v>
      </c>
      <c r="L256" s="106">
        <v>102</v>
      </c>
      <c r="M256" s="41">
        <v>5841716</v>
      </c>
      <c r="N256" s="41">
        <v>0</v>
      </c>
      <c r="O256" s="41">
        <v>0</v>
      </c>
      <c r="P256" s="41">
        <f t="shared" si="119"/>
        <v>5841716</v>
      </c>
      <c r="Q256" s="41">
        <v>0</v>
      </c>
      <c r="R256" s="41">
        <v>0</v>
      </c>
      <c r="S256" s="41">
        <f t="shared" ref="S256" si="124">M256/J256</f>
        <v>2310.6225773277433</v>
      </c>
      <c r="T256" s="53">
        <v>7920</v>
      </c>
      <c r="U256" s="90" t="s">
        <v>174</v>
      </c>
    </row>
    <row r="257" spans="2:21" s="44" customFormat="1" x14ac:dyDescent="0.25">
      <c r="B257" s="89">
        <v>114</v>
      </c>
      <c r="C257" s="160" t="s">
        <v>322</v>
      </c>
      <c r="D257" s="54">
        <v>1977</v>
      </c>
      <c r="E257" s="55"/>
      <c r="F257" s="55" t="s">
        <v>24</v>
      </c>
      <c r="G257" s="55">
        <v>5</v>
      </c>
      <c r="H257" s="55">
        <v>4</v>
      </c>
      <c r="I257" s="41">
        <v>3088.5</v>
      </c>
      <c r="J257" s="41">
        <v>2993.6</v>
      </c>
      <c r="K257" s="41">
        <f>J257-52.6</f>
        <v>2941</v>
      </c>
      <c r="L257" s="106">
        <v>135</v>
      </c>
      <c r="M257" s="53">
        <v>2901889</v>
      </c>
      <c r="N257" s="41">
        <v>0</v>
      </c>
      <c r="O257" s="41">
        <v>0</v>
      </c>
      <c r="P257" s="41">
        <f t="shared" si="119"/>
        <v>2901889</v>
      </c>
      <c r="Q257" s="41">
        <v>0</v>
      </c>
      <c r="R257" s="41">
        <v>0</v>
      </c>
      <c r="S257" s="41">
        <f t="shared" ref="S257" si="125">M257/J257</f>
        <v>969.36431052912883</v>
      </c>
      <c r="T257" s="53">
        <v>7920</v>
      </c>
      <c r="U257" s="90" t="s">
        <v>174</v>
      </c>
    </row>
    <row r="258" spans="2:21" s="44" customFormat="1" x14ac:dyDescent="0.25">
      <c r="B258" s="89">
        <v>115</v>
      </c>
      <c r="C258" s="160" t="s">
        <v>323</v>
      </c>
      <c r="D258" s="54">
        <v>1975</v>
      </c>
      <c r="E258" s="55"/>
      <c r="F258" s="55" t="s">
        <v>25</v>
      </c>
      <c r="G258" s="55">
        <v>5</v>
      </c>
      <c r="H258" s="55">
        <v>4</v>
      </c>
      <c r="I258" s="41">
        <v>3328.1</v>
      </c>
      <c r="J258" s="41">
        <v>3084.2</v>
      </c>
      <c r="K258" s="41">
        <f>J258-160-306.3</f>
        <v>2617.8999999999996</v>
      </c>
      <c r="L258" s="106">
        <v>167</v>
      </c>
      <c r="M258" s="41">
        <v>2935693</v>
      </c>
      <c r="N258" s="41">
        <v>0</v>
      </c>
      <c r="O258" s="41">
        <v>0</v>
      </c>
      <c r="P258" s="41">
        <f t="shared" si="119"/>
        <v>2935693</v>
      </c>
      <c r="Q258" s="41">
        <v>0</v>
      </c>
      <c r="R258" s="41">
        <v>0</v>
      </c>
      <c r="S258" s="41">
        <f t="shared" ref="S258" si="126">M258/J258</f>
        <v>951.84910187406786</v>
      </c>
      <c r="T258" s="53">
        <v>7920</v>
      </c>
      <c r="U258" s="90" t="s">
        <v>174</v>
      </c>
    </row>
    <row r="259" spans="2:21" s="44" customFormat="1" x14ac:dyDescent="0.25">
      <c r="B259" s="89">
        <v>116</v>
      </c>
      <c r="C259" s="160" t="s">
        <v>324</v>
      </c>
      <c r="D259" s="54">
        <v>1983</v>
      </c>
      <c r="E259" s="55"/>
      <c r="F259" s="55" t="s">
        <v>25</v>
      </c>
      <c r="G259" s="55">
        <v>9</v>
      </c>
      <c r="H259" s="55">
        <v>1</v>
      </c>
      <c r="I259" s="41">
        <v>3455.6</v>
      </c>
      <c r="J259" s="41">
        <v>3236.2</v>
      </c>
      <c r="K259" s="41">
        <f>J259-93.5</f>
        <v>3142.7</v>
      </c>
      <c r="L259" s="106">
        <v>125</v>
      </c>
      <c r="M259" s="41">
        <v>5703793</v>
      </c>
      <c r="N259" s="41">
        <v>0</v>
      </c>
      <c r="O259" s="41">
        <v>0</v>
      </c>
      <c r="P259" s="41">
        <f t="shared" si="119"/>
        <v>5703793</v>
      </c>
      <c r="Q259" s="41">
        <v>0</v>
      </c>
      <c r="R259" s="41">
        <v>0</v>
      </c>
      <c r="S259" s="41">
        <f t="shared" ref="S259" si="127">M259/J259</f>
        <v>1762.4970644583154</v>
      </c>
      <c r="T259" s="53">
        <v>7920</v>
      </c>
      <c r="U259" s="90" t="s">
        <v>174</v>
      </c>
    </row>
    <row r="260" spans="2:21" s="44" customFormat="1" x14ac:dyDescent="0.25">
      <c r="B260" s="91">
        <v>117</v>
      </c>
      <c r="C260" s="166" t="s">
        <v>170</v>
      </c>
      <c r="D260" s="54">
        <v>1950</v>
      </c>
      <c r="E260" s="55"/>
      <c r="F260" s="55" t="s">
        <v>47</v>
      </c>
      <c r="G260" s="55">
        <v>2</v>
      </c>
      <c r="H260" s="55">
        <v>3</v>
      </c>
      <c r="I260" s="41">
        <v>1395.9</v>
      </c>
      <c r="J260" s="41">
        <v>1264.5999999999999</v>
      </c>
      <c r="K260" s="41">
        <f>J260-213-138.3</f>
        <v>913.3</v>
      </c>
      <c r="L260" s="106">
        <v>49</v>
      </c>
      <c r="M260" s="41">
        <v>1864763</v>
      </c>
      <c r="N260" s="41">
        <v>0</v>
      </c>
      <c r="O260" s="41">
        <v>0</v>
      </c>
      <c r="P260" s="41">
        <f t="shared" si="119"/>
        <v>1864763</v>
      </c>
      <c r="Q260" s="41">
        <v>0</v>
      </c>
      <c r="R260" s="41">
        <v>0</v>
      </c>
      <c r="S260" s="41">
        <f t="shared" ref="S260" si="128">M260/J260</f>
        <v>1474.5872212557331</v>
      </c>
      <c r="T260" s="53">
        <v>7920</v>
      </c>
      <c r="U260" s="90" t="s">
        <v>174</v>
      </c>
    </row>
    <row r="261" spans="2:21" s="44" customFormat="1" x14ac:dyDescent="0.25">
      <c r="B261" s="91">
        <v>118</v>
      </c>
      <c r="C261" s="166" t="s">
        <v>325</v>
      </c>
      <c r="D261" s="54">
        <v>1948</v>
      </c>
      <c r="E261" s="55"/>
      <c r="F261" s="55" t="s">
        <v>25</v>
      </c>
      <c r="G261" s="55">
        <v>2</v>
      </c>
      <c r="H261" s="55">
        <v>3</v>
      </c>
      <c r="I261" s="41">
        <v>1329.8</v>
      </c>
      <c r="J261" s="41">
        <v>1212.2</v>
      </c>
      <c r="K261" s="41">
        <f>J261</f>
        <v>1212.2</v>
      </c>
      <c r="L261" s="106">
        <v>55</v>
      </c>
      <c r="M261" s="41">
        <v>3615367</v>
      </c>
      <c r="N261" s="41">
        <v>0</v>
      </c>
      <c r="O261" s="41">
        <v>0</v>
      </c>
      <c r="P261" s="41">
        <f t="shared" si="119"/>
        <v>3615367</v>
      </c>
      <c r="Q261" s="41">
        <v>0</v>
      </c>
      <c r="R261" s="41">
        <v>0</v>
      </c>
      <c r="S261" s="41">
        <f t="shared" ref="S261" si="129">M261/J261</f>
        <v>2982.4839135456195</v>
      </c>
      <c r="T261" s="53">
        <v>7920</v>
      </c>
      <c r="U261" s="90" t="s">
        <v>174</v>
      </c>
    </row>
    <row r="262" spans="2:21" s="44" customFormat="1" x14ac:dyDescent="0.25">
      <c r="B262" s="89">
        <v>119</v>
      </c>
      <c r="C262" s="160" t="s">
        <v>326</v>
      </c>
      <c r="D262" s="54">
        <v>1981</v>
      </c>
      <c r="E262" s="55"/>
      <c r="F262" s="55" t="s">
        <v>25</v>
      </c>
      <c r="G262" s="55">
        <v>5</v>
      </c>
      <c r="H262" s="55">
        <v>5</v>
      </c>
      <c r="I262" s="41">
        <v>4041.1</v>
      </c>
      <c r="J262" s="41">
        <v>3451.5</v>
      </c>
      <c r="K262" s="41">
        <f>J262-356.8</f>
        <v>3094.7</v>
      </c>
      <c r="L262" s="106">
        <v>162</v>
      </c>
      <c r="M262" s="41">
        <v>5773986</v>
      </c>
      <c r="N262" s="41">
        <v>0</v>
      </c>
      <c r="O262" s="41">
        <v>0</v>
      </c>
      <c r="P262" s="41">
        <f t="shared" si="119"/>
        <v>5773986</v>
      </c>
      <c r="Q262" s="41">
        <v>0</v>
      </c>
      <c r="R262" s="41">
        <v>0</v>
      </c>
      <c r="S262" s="41">
        <f t="shared" ref="S262" si="130">M262/J262</f>
        <v>1672.8917861799218</v>
      </c>
      <c r="T262" s="53">
        <v>7920</v>
      </c>
      <c r="U262" s="90" t="s">
        <v>174</v>
      </c>
    </row>
    <row r="263" spans="2:21" s="44" customFormat="1" x14ac:dyDescent="0.25">
      <c r="B263" s="89">
        <v>120</v>
      </c>
      <c r="C263" s="160" t="s">
        <v>327</v>
      </c>
      <c r="D263" s="54">
        <v>1989</v>
      </c>
      <c r="E263" s="55"/>
      <c r="F263" s="55" t="s">
        <v>25</v>
      </c>
      <c r="G263" s="55">
        <v>13</v>
      </c>
      <c r="H263" s="55">
        <v>1</v>
      </c>
      <c r="I263" s="41">
        <v>3937.2</v>
      </c>
      <c r="J263" s="41">
        <v>3855.9</v>
      </c>
      <c r="K263" s="41">
        <f>J263-265.4</f>
        <v>3590.5</v>
      </c>
      <c r="L263" s="106">
        <v>155</v>
      </c>
      <c r="M263" s="41">
        <v>3939943</v>
      </c>
      <c r="N263" s="41">
        <v>0</v>
      </c>
      <c r="O263" s="41">
        <v>0</v>
      </c>
      <c r="P263" s="41">
        <f t="shared" si="119"/>
        <v>3939943</v>
      </c>
      <c r="Q263" s="41">
        <v>0</v>
      </c>
      <c r="R263" s="41">
        <v>0</v>
      </c>
      <c r="S263" s="41">
        <f t="shared" ref="S263" si="131">M263/J263</f>
        <v>1021.7959490650691</v>
      </c>
      <c r="T263" s="53">
        <v>7920</v>
      </c>
      <c r="U263" s="90" t="s">
        <v>174</v>
      </c>
    </row>
    <row r="264" spans="2:21" s="44" customFormat="1" x14ac:dyDescent="0.25">
      <c r="B264" s="89">
        <v>121</v>
      </c>
      <c r="C264" s="160" t="s">
        <v>328</v>
      </c>
      <c r="D264" s="54">
        <v>1986</v>
      </c>
      <c r="E264" s="55"/>
      <c r="F264" s="55" t="s">
        <v>24</v>
      </c>
      <c r="G264" s="55">
        <v>9</v>
      </c>
      <c r="H264" s="55">
        <v>5</v>
      </c>
      <c r="I264" s="41">
        <v>12062.1</v>
      </c>
      <c r="J264" s="41">
        <v>9715.2000000000007</v>
      </c>
      <c r="K264" s="41">
        <f>J264-569.1-14.7</f>
        <v>9131.4</v>
      </c>
      <c r="L264" s="106">
        <v>468</v>
      </c>
      <c r="M264" s="41">
        <v>13856490</v>
      </c>
      <c r="N264" s="41">
        <v>0</v>
      </c>
      <c r="O264" s="41">
        <v>0</v>
      </c>
      <c r="P264" s="41">
        <f t="shared" si="119"/>
        <v>13856490</v>
      </c>
      <c r="Q264" s="41">
        <v>0</v>
      </c>
      <c r="R264" s="41">
        <v>0</v>
      </c>
      <c r="S264" s="41">
        <f t="shared" ref="S264" si="132">M264/J264</f>
        <v>1426.269145256917</v>
      </c>
      <c r="T264" s="53">
        <v>7920</v>
      </c>
      <c r="U264" s="90" t="s">
        <v>174</v>
      </c>
    </row>
    <row r="265" spans="2:21" s="44" customFormat="1" x14ac:dyDescent="0.25">
      <c r="B265" s="91">
        <v>122</v>
      </c>
      <c r="C265" s="160" t="s">
        <v>385</v>
      </c>
      <c r="D265" s="54">
        <v>1988</v>
      </c>
      <c r="E265" s="55"/>
      <c r="F265" s="55" t="s">
        <v>24</v>
      </c>
      <c r="G265" s="55">
        <v>12</v>
      </c>
      <c r="H265" s="55">
        <v>1</v>
      </c>
      <c r="I265" s="41">
        <v>4446.5</v>
      </c>
      <c r="J265" s="41">
        <v>3628.8</v>
      </c>
      <c r="K265" s="41">
        <f>J265-35.6-56.4</f>
        <v>3536.8</v>
      </c>
      <c r="L265" s="106">
        <v>160</v>
      </c>
      <c r="M265" s="41">
        <v>9197418</v>
      </c>
      <c r="N265" s="41">
        <v>0</v>
      </c>
      <c r="O265" s="41">
        <v>0</v>
      </c>
      <c r="P265" s="41">
        <f t="shared" si="119"/>
        <v>9197418</v>
      </c>
      <c r="Q265" s="41">
        <v>0</v>
      </c>
      <c r="R265" s="41">
        <v>0</v>
      </c>
      <c r="S265" s="41">
        <f t="shared" ref="S265" si="133">M265/J265</f>
        <v>2534.5618386243386</v>
      </c>
      <c r="T265" s="53">
        <v>7920</v>
      </c>
      <c r="U265" s="90" t="s">
        <v>174</v>
      </c>
    </row>
    <row r="266" spans="2:21" s="44" customFormat="1" x14ac:dyDescent="0.25">
      <c r="B266" s="91">
        <v>123</v>
      </c>
      <c r="C266" s="160" t="s">
        <v>329</v>
      </c>
      <c r="D266" s="54">
        <v>1966</v>
      </c>
      <c r="E266" s="55"/>
      <c r="F266" s="55" t="s">
        <v>24</v>
      </c>
      <c r="G266" s="55">
        <v>5</v>
      </c>
      <c r="H266" s="55">
        <v>4</v>
      </c>
      <c r="I266" s="41">
        <v>3824.4</v>
      </c>
      <c r="J266" s="41">
        <v>3536.4</v>
      </c>
      <c r="K266" s="41">
        <f>J266-324.7</f>
        <v>3211.7000000000003</v>
      </c>
      <c r="L266" s="106">
        <v>181</v>
      </c>
      <c r="M266" s="53">
        <v>2551288</v>
      </c>
      <c r="N266" s="41">
        <v>0</v>
      </c>
      <c r="O266" s="41">
        <v>0</v>
      </c>
      <c r="P266" s="41">
        <f t="shared" si="119"/>
        <v>2551288</v>
      </c>
      <c r="Q266" s="41">
        <v>0</v>
      </c>
      <c r="R266" s="41">
        <v>0</v>
      </c>
      <c r="S266" s="41">
        <f t="shared" ref="S266" si="134">M266/J266</f>
        <v>721.43648908494515</v>
      </c>
      <c r="T266" s="53">
        <v>7920</v>
      </c>
      <c r="U266" s="90" t="s">
        <v>174</v>
      </c>
    </row>
    <row r="267" spans="2:21" s="44" customFormat="1" x14ac:dyDescent="0.25">
      <c r="B267" s="89">
        <v>124</v>
      </c>
      <c r="C267" s="160" t="s">
        <v>330</v>
      </c>
      <c r="D267" s="54">
        <v>1984</v>
      </c>
      <c r="E267" s="55"/>
      <c r="F267" s="55" t="s">
        <v>24</v>
      </c>
      <c r="G267" s="55">
        <v>9</v>
      </c>
      <c r="H267" s="55">
        <v>1</v>
      </c>
      <c r="I267" s="41">
        <v>2185.6</v>
      </c>
      <c r="J267" s="41">
        <v>1927.1</v>
      </c>
      <c r="K267" s="41">
        <f>J267-66.8</f>
        <v>1860.3</v>
      </c>
      <c r="L267" s="106">
        <v>86</v>
      </c>
      <c r="M267" s="41">
        <v>2792954</v>
      </c>
      <c r="N267" s="41">
        <v>0</v>
      </c>
      <c r="O267" s="41">
        <v>0</v>
      </c>
      <c r="P267" s="41">
        <f t="shared" si="119"/>
        <v>2792954</v>
      </c>
      <c r="Q267" s="41">
        <v>0</v>
      </c>
      <c r="R267" s="41">
        <v>0</v>
      </c>
      <c r="S267" s="41">
        <f t="shared" ref="S267" si="135">M267/J267</f>
        <v>1449.3041357480151</v>
      </c>
      <c r="T267" s="53">
        <v>7920</v>
      </c>
      <c r="U267" s="90" t="s">
        <v>174</v>
      </c>
    </row>
    <row r="268" spans="2:21" s="44" customFormat="1" x14ac:dyDescent="0.25">
      <c r="B268" s="89">
        <v>125</v>
      </c>
      <c r="C268" s="160" t="s">
        <v>331</v>
      </c>
      <c r="D268" s="54">
        <v>1989</v>
      </c>
      <c r="E268" s="55"/>
      <c r="F268" s="55" t="s">
        <v>24</v>
      </c>
      <c r="G268" s="55">
        <v>9</v>
      </c>
      <c r="H268" s="55">
        <v>6</v>
      </c>
      <c r="I268" s="41">
        <v>17322.900000000001</v>
      </c>
      <c r="J268" s="41">
        <v>14905.3</v>
      </c>
      <c r="K268" s="41">
        <f>J268-97.8-852.1</f>
        <v>13955.4</v>
      </c>
      <c r="L268" s="106">
        <v>657</v>
      </c>
      <c r="M268" s="41">
        <v>17567864</v>
      </c>
      <c r="N268" s="41">
        <v>0</v>
      </c>
      <c r="O268" s="41">
        <v>0</v>
      </c>
      <c r="P268" s="41">
        <f t="shared" si="119"/>
        <v>17567864</v>
      </c>
      <c r="Q268" s="41">
        <v>0</v>
      </c>
      <c r="R268" s="41">
        <v>0</v>
      </c>
      <c r="S268" s="41">
        <f t="shared" ref="S268" si="136">M268/J268</f>
        <v>1178.6320302174395</v>
      </c>
      <c r="T268" s="53">
        <v>7920</v>
      </c>
      <c r="U268" s="90" t="s">
        <v>174</v>
      </c>
    </row>
    <row r="269" spans="2:21" s="44" customFormat="1" x14ac:dyDescent="0.25">
      <c r="B269" s="89">
        <v>126</v>
      </c>
      <c r="C269" s="160" t="s">
        <v>332</v>
      </c>
      <c r="D269" s="54">
        <v>1989</v>
      </c>
      <c r="E269" s="55"/>
      <c r="F269" s="55" t="s">
        <v>25</v>
      </c>
      <c r="G269" s="55">
        <v>9</v>
      </c>
      <c r="H269" s="55">
        <v>5</v>
      </c>
      <c r="I269" s="41">
        <v>13574.1</v>
      </c>
      <c r="J269" s="41">
        <v>10659.2</v>
      </c>
      <c r="K269" s="41">
        <f>J269-1010.4</f>
        <v>9648.8000000000011</v>
      </c>
      <c r="L269" s="106">
        <v>520</v>
      </c>
      <c r="M269" s="41">
        <v>14446628</v>
      </c>
      <c r="N269" s="41">
        <v>0</v>
      </c>
      <c r="O269" s="41">
        <v>0</v>
      </c>
      <c r="P269" s="41">
        <f t="shared" si="119"/>
        <v>14446628</v>
      </c>
      <c r="Q269" s="41">
        <v>0</v>
      </c>
      <c r="R269" s="41">
        <v>0</v>
      </c>
      <c r="S269" s="41">
        <f t="shared" ref="S269" si="137">M269/J269</f>
        <v>1355.3200990693485</v>
      </c>
      <c r="T269" s="53">
        <v>7920</v>
      </c>
      <c r="U269" s="90" t="s">
        <v>174</v>
      </c>
    </row>
    <row r="270" spans="2:21" s="44" customFormat="1" x14ac:dyDescent="0.25">
      <c r="B270" s="91">
        <v>127</v>
      </c>
      <c r="C270" s="160" t="s">
        <v>333</v>
      </c>
      <c r="D270" s="54">
        <v>1951</v>
      </c>
      <c r="E270" s="55"/>
      <c r="F270" s="55" t="s">
        <v>25</v>
      </c>
      <c r="G270" s="55">
        <v>2</v>
      </c>
      <c r="H270" s="55">
        <v>1</v>
      </c>
      <c r="I270" s="41">
        <v>536.70000000000005</v>
      </c>
      <c r="J270" s="41">
        <v>498</v>
      </c>
      <c r="K270" s="41">
        <f>J270-22.1</f>
        <v>475.9</v>
      </c>
      <c r="L270" s="106">
        <v>20</v>
      </c>
      <c r="M270" s="53">
        <v>1861754</v>
      </c>
      <c r="N270" s="41">
        <v>0</v>
      </c>
      <c r="O270" s="41">
        <v>0</v>
      </c>
      <c r="P270" s="41">
        <f t="shared" si="119"/>
        <v>1861754</v>
      </c>
      <c r="Q270" s="41">
        <v>0</v>
      </c>
      <c r="R270" s="41">
        <v>0</v>
      </c>
      <c r="S270" s="41">
        <f t="shared" ref="S270" si="138">M270/J270</f>
        <v>3738.4618473895584</v>
      </c>
      <c r="T270" s="53">
        <v>7920</v>
      </c>
      <c r="U270" s="90" t="s">
        <v>174</v>
      </c>
    </row>
    <row r="271" spans="2:21" s="44" customFormat="1" x14ac:dyDescent="0.25">
      <c r="B271" s="91">
        <v>128</v>
      </c>
      <c r="C271" s="160" t="s">
        <v>334</v>
      </c>
      <c r="D271" s="54">
        <v>1895</v>
      </c>
      <c r="E271" s="55"/>
      <c r="F271" s="55" t="s">
        <v>25</v>
      </c>
      <c r="G271" s="55">
        <v>2</v>
      </c>
      <c r="H271" s="55">
        <v>1</v>
      </c>
      <c r="I271" s="41">
        <v>497.1</v>
      </c>
      <c r="J271" s="41">
        <v>363.5</v>
      </c>
      <c r="K271" s="41">
        <f>J271</f>
        <v>363.5</v>
      </c>
      <c r="L271" s="106">
        <v>12</v>
      </c>
      <c r="M271" s="41">
        <v>1336656</v>
      </c>
      <c r="N271" s="41">
        <v>0</v>
      </c>
      <c r="O271" s="41">
        <v>0</v>
      </c>
      <c r="P271" s="41">
        <f t="shared" si="119"/>
        <v>1336656</v>
      </c>
      <c r="Q271" s="41">
        <v>0</v>
      </c>
      <c r="R271" s="41">
        <v>0</v>
      </c>
      <c r="S271" s="41">
        <f t="shared" ref="S271" si="139">M271/J271</f>
        <v>3677.1829436038515</v>
      </c>
      <c r="T271" s="53">
        <v>7920</v>
      </c>
      <c r="U271" s="90" t="s">
        <v>174</v>
      </c>
    </row>
    <row r="272" spans="2:21" s="44" customFormat="1" x14ac:dyDescent="0.25">
      <c r="B272" s="89">
        <v>129</v>
      </c>
      <c r="C272" s="160" t="s">
        <v>335</v>
      </c>
      <c r="D272" s="54">
        <v>1972</v>
      </c>
      <c r="E272" s="55"/>
      <c r="F272" s="55" t="s">
        <v>25</v>
      </c>
      <c r="G272" s="55">
        <v>5</v>
      </c>
      <c r="H272" s="55">
        <v>2</v>
      </c>
      <c r="I272" s="41">
        <v>3773.99</v>
      </c>
      <c r="J272" s="41">
        <v>3489.29</v>
      </c>
      <c r="K272" s="41">
        <f>J272-639.8</f>
        <v>2849.49</v>
      </c>
      <c r="L272" s="106">
        <v>191</v>
      </c>
      <c r="M272" s="53">
        <v>2610618</v>
      </c>
      <c r="N272" s="41">
        <v>0</v>
      </c>
      <c r="O272" s="41">
        <v>0</v>
      </c>
      <c r="P272" s="41">
        <f t="shared" si="119"/>
        <v>2610618</v>
      </c>
      <c r="Q272" s="41">
        <v>0</v>
      </c>
      <c r="R272" s="41">
        <v>0</v>
      </c>
      <c r="S272" s="41">
        <f t="shared" ref="S272" si="140">M272/J272</f>
        <v>748.1802888266667</v>
      </c>
      <c r="T272" s="53">
        <v>7920</v>
      </c>
      <c r="U272" s="90" t="s">
        <v>174</v>
      </c>
    </row>
    <row r="273" spans="2:21" s="44" customFormat="1" x14ac:dyDescent="0.25">
      <c r="B273" s="89">
        <v>130</v>
      </c>
      <c r="C273" s="160" t="s">
        <v>379</v>
      </c>
      <c r="D273" s="54">
        <v>1986</v>
      </c>
      <c r="E273" s="55"/>
      <c r="F273" s="55" t="s">
        <v>24</v>
      </c>
      <c r="G273" s="55">
        <v>5</v>
      </c>
      <c r="H273" s="55">
        <v>8</v>
      </c>
      <c r="I273" s="41">
        <v>6649.8</v>
      </c>
      <c r="J273" s="41">
        <v>6072.5</v>
      </c>
      <c r="K273" s="41">
        <f>J273-219.7</f>
        <v>5852.8</v>
      </c>
      <c r="L273" s="106">
        <v>246</v>
      </c>
      <c r="M273" s="53">
        <v>3919318</v>
      </c>
      <c r="N273" s="41">
        <v>0</v>
      </c>
      <c r="O273" s="41">
        <v>0</v>
      </c>
      <c r="P273" s="41">
        <f t="shared" si="119"/>
        <v>3919318</v>
      </c>
      <c r="Q273" s="41">
        <v>0</v>
      </c>
      <c r="R273" s="41">
        <v>0</v>
      </c>
      <c r="S273" s="41">
        <f t="shared" ref="S273" si="141">M273/J273</f>
        <v>645.42083161794983</v>
      </c>
      <c r="T273" s="53">
        <v>7920</v>
      </c>
      <c r="U273" s="90" t="s">
        <v>174</v>
      </c>
    </row>
    <row r="274" spans="2:21" s="44" customFormat="1" x14ac:dyDescent="0.25">
      <c r="B274" s="89">
        <v>131</v>
      </c>
      <c r="C274" s="160" t="s">
        <v>336</v>
      </c>
      <c r="D274" s="54">
        <v>1956</v>
      </c>
      <c r="E274" s="55"/>
      <c r="F274" s="55" t="s">
        <v>25</v>
      </c>
      <c r="G274" s="55">
        <v>2</v>
      </c>
      <c r="H274" s="55">
        <v>3</v>
      </c>
      <c r="I274" s="41">
        <v>1305.5999999999999</v>
      </c>
      <c r="J274" s="41">
        <v>1143.5999999999999</v>
      </c>
      <c r="K274" s="41">
        <f>J274-57.9-60.1</f>
        <v>1025.5999999999999</v>
      </c>
      <c r="L274" s="106">
        <v>22</v>
      </c>
      <c r="M274" s="41">
        <v>1300391</v>
      </c>
      <c r="N274" s="41">
        <v>0</v>
      </c>
      <c r="O274" s="41">
        <v>0</v>
      </c>
      <c r="P274" s="41">
        <f t="shared" si="119"/>
        <v>1300391</v>
      </c>
      <c r="Q274" s="41">
        <v>0</v>
      </c>
      <c r="R274" s="41">
        <v>0</v>
      </c>
      <c r="S274" s="41">
        <f t="shared" ref="S274" si="142">M274/J274</f>
        <v>1137.1030080447711</v>
      </c>
      <c r="T274" s="53">
        <v>7920</v>
      </c>
      <c r="U274" s="90" t="s">
        <v>174</v>
      </c>
    </row>
    <row r="275" spans="2:21" s="44" customFormat="1" x14ac:dyDescent="0.25">
      <c r="B275" s="91">
        <v>132</v>
      </c>
      <c r="C275" s="160" t="s">
        <v>337</v>
      </c>
      <c r="D275" s="54">
        <v>1962</v>
      </c>
      <c r="E275" s="55"/>
      <c r="F275" s="55" t="s">
        <v>25</v>
      </c>
      <c r="G275" s="55">
        <v>2</v>
      </c>
      <c r="H275" s="55">
        <v>2</v>
      </c>
      <c r="I275" s="41">
        <v>786</v>
      </c>
      <c r="J275" s="41">
        <v>648.29999999999995</v>
      </c>
      <c r="K275" s="41">
        <f>J275</f>
        <v>648.29999999999995</v>
      </c>
      <c r="L275" s="106">
        <v>18</v>
      </c>
      <c r="M275" s="53">
        <v>1817942</v>
      </c>
      <c r="N275" s="41">
        <v>0</v>
      </c>
      <c r="O275" s="41">
        <v>0</v>
      </c>
      <c r="P275" s="41">
        <f t="shared" si="119"/>
        <v>1817942</v>
      </c>
      <c r="Q275" s="41">
        <v>0</v>
      </c>
      <c r="R275" s="41">
        <v>0</v>
      </c>
      <c r="S275" s="41">
        <f t="shared" ref="S275" si="143">M275/J275</f>
        <v>2804.1678235384857</v>
      </c>
      <c r="T275" s="53">
        <v>7920</v>
      </c>
      <c r="U275" s="90" t="s">
        <v>174</v>
      </c>
    </row>
    <row r="276" spans="2:21" s="44" customFormat="1" x14ac:dyDescent="0.25">
      <c r="B276" s="91">
        <v>133</v>
      </c>
      <c r="C276" s="160" t="s">
        <v>338</v>
      </c>
      <c r="D276" s="54">
        <v>1956</v>
      </c>
      <c r="E276" s="55"/>
      <c r="F276" s="55" t="s">
        <v>25</v>
      </c>
      <c r="G276" s="55">
        <v>2</v>
      </c>
      <c r="H276" s="55">
        <v>2</v>
      </c>
      <c r="I276" s="41">
        <v>439.4</v>
      </c>
      <c r="J276" s="41">
        <v>395.2</v>
      </c>
      <c r="K276" s="41">
        <f>J276-43.3</f>
        <v>351.9</v>
      </c>
      <c r="L276" s="106">
        <v>24</v>
      </c>
      <c r="M276" s="41">
        <v>1946073</v>
      </c>
      <c r="N276" s="41">
        <v>0</v>
      </c>
      <c r="O276" s="41">
        <v>0</v>
      </c>
      <c r="P276" s="41">
        <f t="shared" si="119"/>
        <v>1946073</v>
      </c>
      <c r="Q276" s="41">
        <v>0</v>
      </c>
      <c r="R276" s="41">
        <v>0</v>
      </c>
      <c r="S276" s="41">
        <f t="shared" ref="S276:S279" si="144">M276/J276</f>
        <v>4924.2737854251018</v>
      </c>
      <c r="T276" s="53">
        <v>7920</v>
      </c>
      <c r="U276" s="90" t="s">
        <v>174</v>
      </c>
    </row>
    <row r="277" spans="2:21" s="44" customFormat="1" x14ac:dyDescent="0.25">
      <c r="B277" s="89">
        <v>134</v>
      </c>
      <c r="C277" s="163" t="s">
        <v>339</v>
      </c>
      <c r="D277" s="54">
        <v>1962</v>
      </c>
      <c r="E277" s="55"/>
      <c r="F277" s="55" t="s">
        <v>25</v>
      </c>
      <c r="G277" s="55">
        <v>3</v>
      </c>
      <c r="H277" s="55">
        <v>2</v>
      </c>
      <c r="I277" s="41">
        <v>1023.3</v>
      </c>
      <c r="J277" s="41">
        <v>950.3</v>
      </c>
      <c r="K277" s="41">
        <f>J277-129.4</f>
        <v>820.9</v>
      </c>
      <c r="L277" s="106">
        <v>38</v>
      </c>
      <c r="M277" s="53">
        <v>1766431</v>
      </c>
      <c r="N277" s="41">
        <v>0</v>
      </c>
      <c r="O277" s="41">
        <v>0</v>
      </c>
      <c r="P277" s="41">
        <f t="shared" si="119"/>
        <v>1766431</v>
      </c>
      <c r="Q277" s="41">
        <v>0</v>
      </c>
      <c r="R277" s="41">
        <v>0</v>
      </c>
      <c r="S277" s="41">
        <f t="shared" si="144"/>
        <v>1858.8140587182995</v>
      </c>
      <c r="T277" s="53">
        <v>7920</v>
      </c>
      <c r="U277" s="90" t="s">
        <v>174</v>
      </c>
    </row>
    <row r="278" spans="2:21" s="44" customFormat="1" x14ac:dyDescent="0.25">
      <c r="B278" s="89">
        <v>135</v>
      </c>
      <c r="C278" s="160" t="s">
        <v>340</v>
      </c>
      <c r="D278" s="54">
        <v>1956</v>
      </c>
      <c r="E278" s="55"/>
      <c r="F278" s="55" t="s">
        <v>25</v>
      </c>
      <c r="G278" s="55">
        <v>2</v>
      </c>
      <c r="H278" s="55">
        <v>2</v>
      </c>
      <c r="I278" s="41">
        <v>399.1</v>
      </c>
      <c r="J278" s="41">
        <v>352.1</v>
      </c>
      <c r="K278" s="41">
        <f>J278-43.9</f>
        <v>308.20000000000005</v>
      </c>
      <c r="L278" s="106">
        <v>27</v>
      </c>
      <c r="M278" s="41">
        <v>1964171</v>
      </c>
      <c r="N278" s="41">
        <v>0</v>
      </c>
      <c r="O278" s="41">
        <v>0</v>
      </c>
      <c r="P278" s="41">
        <f t="shared" si="119"/>
        <v>1964171</v>
      </c>
      <c r="Q278" s="41">
        <v>0</v>
      </c>
      <c r="R278" s="41">
        <v>0</v>
      </c>
      <c r="S278" s="41">
        <f t="shared" si="144"/>
        <v>5578.4464640727065</v>
      </c>
      <c r="T278" s="53">
        <v>7920</v>
      </c>
      <c r="U278" s="90" t="s">
        <v>174</v>
      </c>
    </row>
    <row r="279" spans="2:21" s="44" customFormat="1" x14ac:dyDescent="0.25">
      <c r="B279" s="89">
        <v>136</v>
      </c>
      <c r="C279" s="160" t="s">
        <v>341</v>
      </c>
      <c r="D279" s="54">
        <v>1960</v>
      </c>
      <c r="E279" s="55"/>
      <c r="F279" s="55" t="s">
        <v>25</v>
      </c>
      <c r="G279" s="55">
        <v>2</v>
      </c>
      <c r="H279" s="55">
        <v>2</v>
      </c>
      <c r="I279" s="41">
        <v>684.3</v>
      </c>
      <c r="J279" s="41">
        <v>635.70000000000005</v>
      </c>
      <c r="K279" s="41">
        <f>J279-80.8</f>
        <v>554.90000000000009</v>
      </c>
      <c r="L279" s="106">
        <v>34</v>
      </c>
      <c r="M279" s="53">
        <v>1745649</v>
      </c>
      <c r="N279" s="41">
        <v>0</v>
      </c>
      <c r="O279" s="41">
        <v>0</v>
      </c>
      <c r="P279" s="41">
        <f t="shared" si="119"/>
        <v>1745649</v>
      </c>
      <c r="Q279" s="41">
        <v>0</v>
      </c>
      <c r="R279" s="41">
        <v>0</v>
      </c>
      <c r="S279" s="41">
        <f t="shared" si="144"/>
        <v>2746.0264275601699</v>
      </c>
      <c r="T279" s="53">
        <v>7920</v>
      </c>
      <c r="U279" s="90" t="s">
        <v>174</v>
      </c>
    </row>
    <row r="280" spans="2:21" s="44" customFormat="1" x14ac:dyDescent="0.25">
      <c r="B280" s="91">
        <v>137</v>
      </c>
      <c r="C280" s="160" t="s">
        <v>342</v>
      </c>
      <c r="D280" s="54">
        <v>1973</v>
      </c>
      <c r="E280" s="55"/>
      <c r="F280" s="55" t="s">
        <v>24</v>
      </c>
      <c r="G280" s="55">
        <v>5</v>
      </c>
      <c r="H280" s="55">
        <v>6</v>
      </c>
      <c r="I280" s="41">
        <v>5002.5</v>
      </c>
      <c r="J280" s="41">
        <v>4596.5</v>
      </c>
      <c r="K280" s="41">
        <f>J280-201.2-106.2</f>
        <v>4289.1000000000004</v>
      </c>
      <c r="L280" s="106">
        <v>162</v>
      </c>
      <c r="M280" s="41">
        <v>7087171</v>
      </c>
      <c r="N280" s="41">
        <v>0</v>
      </c>
      <c r="O280" s="41">
        <v>0</v>
      </c>
      <c r="P280" s="41">
        <f t="shared" si="119"/>
        <v>7087171</v>
      </c>
      <c r="Q280" s="41">
        <v>0</v>
      </c>
      <c r="R280" s="41">
        <v>0</v>
      </c>
      <c r="S280" s="41">
        <f t="shared" ref="S280" si="145">M280/J280</f>
        <v>1541.8625040791908</v>
      </c>
      <c r="T280" s="53">
        <v>7920</v>
      </c>
      <c r="U280" s="90" t="s">
        <v>174</v>
      </c>
    </row>
    <row r="281" spans="2:21" s="44" customFormat="1" x14ac:dyDescent="0.25">
      <c r="B281" s="91">
        <v>138</v>
      </c>
      <c r="C281" s="160" t="s">
        <v>343</v>
      </c>
      <c r="D281" s="54">
        <v>1987</v>
      </c>
      <c r="E281" s="55"/>
      <c r="F281" s="55" t="s">
        <v>24</v>
      </c>
      <c r="G281" s="55">
        <v>12</v>
      </c>
      <c r="H281" s="55">
        <v>1</v>
      </c>
      <c r="I281" s="41">
        <v>4299.6000000000004</v>
      </c>
      <c r="J281" s="41">
        <v>3466.1</v>
      </c>
      <c r="K281" s="41">
        <f>J281-94.8</f>
        <v>3371.2999999999997</v>
      </c>
      <c r="L281" s="106">
        <v>158</v>
      </c>
      <c r="M281" s="41">
        <v>3932680</v>
      </c>
      <c r="N281" s="41">
        <v>0</v>
      </c>
      <c r="O281" s="41">
        <v>0</v>
      </c>
      <c r="P281" s="41">
        <f t="shared" si="119"/>
        <v>3932680</v>
      </c>
      <c r="Q281" s="41">
        <v>0</v>
      </c>
      <c r="R281" s="41">
        <v>0</v>
      </c>
      <c r="S281" s="41">
        <f t="shared" ref="S281:S286" si="146">M281/J281</f>
        <v>1134.6123885635152</v>
      </c>
      <c r="T281" s="53">
        <v>7920</v>
      </c>
      <c r="U281" s="90" t="s">
        <v>174</v>
      </c>
    </row>
    <row r="282" spans="2:21" s="44" customFormat="1" x14ac:dyDescent="0.25">
      <c r="B282" s="89">
        <v>139</v>
      </c>
      <c r="C282" s="160" t="s">
        <v>344</v>
      </c>
      <c r="D282" s="54">
        <v>1990</v>
      </c>
      <c r="E282" s="55"/>
      <c r="F282" s="55" t="s">
        <v>24</v>
      </c>
      <c r="G282" s="55">
        <v>12</v>
      </c>
      <c r="H282" s="55">
        <v>1</v>
      </c>
      <c r="I282" s="41">
        <v>4286</v>
      </c>
      <c r="J282" s="41">
        <v>3601.4</v>
      </c>
      <c r="K282" s="41">
        <f>J282-157.8</f>
        <v>3443.6</v>
      </c>
      <c r="L282" s="106">
        <v>119</v>
      </c>
      <c r="M282" s="41">
        <v>3933674</v>
      </c>
      <c r="N282" s="41">
        <v>0</v>
      </c>
      <c r="O282" s="41">
        <v>0</v>
      </c>
      <c r="P282" s="41">
        <f t="shared" si="119"/>
        <v>3933674</v>
      </c>
      <c r="Q282" s="41">
        <v>0</v>
      </c>
      <c r="R282" s="41">
        <v>0</v>
      </c>
      <c r="S282" s="41">
        <f t="shared" si="146"/>
        <v>1092.2624534903093</v>
      </c>
      <c r="T282" s="53">
        <v>7920</v>
      </c>
      <c r="U282" s="90" t="s">
        <v>174</v>
      </c>
    </row>
    <row r="283" spans="2:21" s="44" customFormat="1" x14ac:dyDescent="0.25">
      <c r="B283" s="89">
        <v>140</v>
      </c>
      <c r="C283" s="160" t="s">
        <v>345</v>
      </c>
      <c r="D283" s="54">
        <v>1987</v>
      </c>
      <c r="E283" s="55"/>
      <c r="F283" s="55" t="s">
        <v>24</v>
      </c>
      <c r="G283" s="55">
        <v>12</v>
      </c>
      <c r="H283" s="55">
        <v>1</v>
      </c>
      <c r="I283" s="41">
        <v>3837.1</v>
      </c>
      <c r="J283" s="41">
        <v>3542.8</v>
      </c>
      <c r="K283" s="41">
        <f>J283-784.3</f>
        <v>2758.5</v>
      </c>
      <c r="L283" s="106">
        <v>132</v>
      </c>
      <c r="M283" s="41">
        <v>3934192</v>
      </c>
      <c r="N283" s="41">
        <v>0</v>
      </c>
      <c r="O283" s="41">
        <v>0</v>
      </c>
      <c r="P283" s="41">
        <f t="shared" si="119"/>
        <v>3934192</v>
      </c>
      <c r="Q283" s="41">
        <v>0</v>
      </c>
      <c r="R283" s="41">
        <v>0</v>
      </c>
      <c r="S283" s="41">
        <f t="shared" si="146"/>
        <v>1110.475330247262</v>
      </c>
      <c r="T283" s="53">
        <v>7920</v>
      </c>
      <c r="U283" s="90" t="s">
        <v>174</v>
      </c>
    </row>
    <row r="284" spans="2:21" s="44" customFormat="1" x14ac:dyDescent="0.25">
      <c r="B284" s="89">
        <v>141</v>
      </c>
      <c r="C284" s="160" t="s">
        <v>346</v>
      </c>
      <c r="D284" s="54">
        <v>1979</v>
      </c>
      <c r="E284" s="55"/>
      <c r="F284" s="55" t="s">
        <v>24</v>
      </c>
      <c r="G284" s="55">
        <v>9</v>
      </c>
      <c r="H284" s="55">
        <v>6</v>
      </c>
      <c r="I284" s="41">
        <v>13827.8</v>
      </c>
      <c r="J284" s="41">
        <v>12465.4</v>
      </c>
      <c r="K284" s="41">
        <f>J284-434.4</f>
        <v>12031</v>
      </c>
      <c r="L284" s="106">
        <v>555</v>
      </c>
      <c r="M284" s="41">
        <v>11858460</v>
      </c>
      <c r="N284" s="41">
        <v>0</v>
      </c>
      <c r="O284" s="41">
        <v>0</v>
      </c>
      <c r="P284" s="41">
        <f t="shared" ref="P284:P316" si="147">M284</f>
        <v>11858460</v>
      </c>
      <c r="Q284" s="41">
        <v>0</v>
      </c>
      <c r="R284" s="41">
        <v>0</v>
      </c>
      <c r="S284" s="41">
        <f t="shared" si="146"/>
        <v>951.31002615238981</v>
      </c>
      <c r="T284" s="53">
        <v>7920</v>
      </c>
      <c r="U284" s="90" t="s">
        <v>174</v>
      </c>
    </row>
    <row r="285" spans="2:21" s="44" customFormat="1" x14ac:dyDescent="0.25">
      <c r="B285" s="91">
        <v>142</v>
      </c>
      <c r="C285" s="160" t="s">
        <v>347</v>
      </c>
      <c r="D285" s="54">
        <v>1962</v>
      </c>
      <c r="E285" s="55"/>
      <c r="F285" s="55" t="s">
        <v>24</v>
      </c>
      <c r="G285" s="55">
        <v>4</v>
      </c>
      <c r="H285" s="55">
        <v>4</v>
      </c>
      <c r="I285" s="41">
        <v>3072.9</v>
      </c>
      <c r="J285" s="41">
        <v>2745.1</v>
      </c>
      <c r="K285" s="41">
        <f>J285-177-189.7</f>
        <v>2378.4</v>
      </c>
      <c r="L285" s="106">
        <v>118</v>
      </c>
      <c r="M285" s="41">
        <v>1418939</v>
      </c>
      <c r="N285" s="41">
        <v>0</v>
      </c>
      <c r="O285" s="41">
        <v>0</v>
      </c>
      <c r="P285" s="41">
        <f t="shared" si="147"/>
        <v>1418939</v>
      </c>
      <c r="Q285" s="41">
        <v>0</v>
      </c>
      <c r="R285" s="41">
        <v>0</v>
      </c>
      <c r="S285" s="41">
        <f t="shared" si="146"/>
        <v>516.89883792940145</v>
      </c>
      <c r="T285" s="53">
        <v>7920</v>
      </c>
      <c r="U285" s="90" t="s">
        <v>174</v>
      </c>
    </row>
    <row r="286" spans="2:21" s="44" customFormat="1" x14ac:dyDescent="0.25">
      <c r="B286" s="91">
        <v>143</v>
      </c>
      <c r="C286" s="160" t="s">
        <v>348</v>
      </c>
      <c r="D286" s="54">
        <v>1985</v>
      </c>
      <c r="E286" s="55"/>
      <c r="F286" s="55" t="s">
        <v>24</v>
      </c>
      <c r="G286" s="55">
        <v>9</v>
      </c>
      <c r="H286" s="55">
        <v>6</v>
      </c>
      <c r="I286" s="41">
        <v>13004.2</v>
      </c>
      <c r="J286" s="41">
        <v>11596.8</v>
      </c>
      <c r="K286" s="41">
        <f>J286-508.6</f>
        <v>11088.199999999999</v>
      </c>
      <c r="L286" s="106">
        <v>513</v>
      </c>
      <c r="M286" s="41">
        <v>16243204</v>
      </c>
      <c r="N286" s="41">
        <v>0</v>
      </c>
      <c r="O286" s="41">
        <v>0</v>
      </c>
      <c r="P286" s="41">
        <f t="shared" si="147"/>
        <v>16243204</v>
      </c>
      <c r="Q286" s="41">
        <v>0</v>
      </c>
      <c r="R286" s="41">
        <v>0</v>
      </c>
      <c r="S286" s="41">
        <f t="shared" si="146"/>
        <v>1400.6625965783664</v>
      </c>
      <c r="T286" s="53">
        <v>7920</v>
      </c>
      <c r="U286" s="90" t="s">
        <v>174</v>
      </c>
    </row>
    <row r="287" spans="2:21" s="44" customFormat="1" x14ac:dyDescent="0.25">
      <c r="B287" s="89">
        <v>144</v>
      </c>
      <c r="C287" s="160" t="s">
        <v>349</v>
      </c>
      <c r="D287" s="54">
        <v>1917</v>
      </c>
      <c r="E287" s="55"/>
      <c r="F287" s="55" t="s">
        <v>25</v>
      </c>
      <c r="G287" s="132" t="s">
        <v>378</v>
      </c>
      <c r="H287" s="55">
        <v>4</v>
      </c>
      <c r="I287" s="41">
        <v>2304.3000000000002</v>
      </c>
      <c r="J287" s="41">
        <v>2167.6999999999998</v>
      </c>
      <c r="K287" s="41">
        <f>J287-390.4</f>
        <v>1777.2999999999997</v>
      </c>
      <c r="L287" s="106">
        <v>61</v>
      </c>
      <c r="M287" s="41">
        <v>4530531</v>
      </c>
      <c r="N287" s="41">
        <v>0</v>
      </c>
      <c r="O287" s="41">
        <v>0</v>
      </c>
      <c r="P287" s="41">
        <f t="shared" si="147"/>
        <v>4530531</v>
      </c>
      <c r="Q287" s="41">
        <v>0</v>
      </c>
      <c r="R287" s="41">
        <v>0</v>
      </c>
      <c r="S287" s="41">
        <f t="shared" ref="S287" si="148">M287/J287</f>
        <v>2090.017530101029</v>
      </c>
      <c r="T287" s="53">
        <v>7920</v>
      </c>
      <c r="U287" s="90" t="s">
        <v>174</v>
      </c>
    </row>
    <row r="288" spans="2:21" s="44" customFormat="1" x14ac:dyDescent="0.25">
      <c r="B288" s="89">
        <v>145</v>
      </c>
      <c r="C288" s="160" t="s">
        <v>350</v>
      </c>
      <c r="D288" s="54">
        <v>1953</v>
      </c>
      <c r="E288" s="55"/>
      <c r="F288" s="55" t="s">
        <v>25</v>
      </c>
      <c r="G288" s="55">
        <v>4</v>
      </c>
      <c r="H288" s="55">
        <v>9</v>
      </c>
      <c r="I288" s="41">
        <v>7344.1</v>
      </c>
      <c r="J288" s="41">
        <v>6786.8</v>
      </c>
      <c r="K288" s="41">
        <f>J288-842.1-1022.6</f>
        <v>4922.0999999999995</v>
      </c>
      <c r="L288" s="106">
        <v>141</v>
      </c>
      <c r="M288" s="41">
        <v>6599999</v>
      </c>
      <c r="N288" s="41">
        <v>0</v>
      </c>
      <c r="O288" s="41">
        <v>0</v>
      </c>
      <c r="P288" s="41">
        <f t="shared" si="147"/>
        <v>6599999</v>
      </c>
      <c r="Q288" s="41">
        <v>0</v>
      </c>
      <c r="R288" s="41">
        <v>0</v>
      </c>
      <c r="S288" s="41">
        <f t="shared" ref="S288" si="149">M288/J288</f>
        <v>972.47583544527606</v>
      </c>
      <c r="T288" s="53">
        <v>7920</v>
      </c>
      <c r="U288" s="90" t="s">
        <v>174</v>
      </c>
    </row>
    <row r="289" spans="2:21" s="44" customFormat="1" x14ac:dyDescent="0.25">
      <c r="B289" s="89">
        <v>146</v>
      </c>
      <c r="C289" s="160" t="s">
        <v>351</v>
      </c>
      <c r="D289" s="54">
        <v>1985</v>
      </c>
      <c r="E289" s="55"/>
      <c r="F289" s="55" t="s">
        <v>25</v>
      </c>
      <c r="G289" s="55">
        <v>9</v>
      </c>
      <c r="H289" s="55">
        <v>2</v>
      </c>
      <c r="I289" s="41">
        <v>8993.2000000000007</v>
      </c>
      <c r="J289" s="41">
        <v>7992.2</v>
      </c>
      <c r="K289" s="41">
        <f>J289-458.8-172.3</f>
        <v>7361.0999999999995</v>
      </c>
      <c r="L289" s="106">
        <v>313</v>
      </c>
      <c r="M289" s="41">
        <v>9367364</v>
      </c>
      <c r="N289" s="41">
        <v>0</v>
      </c>
      <c r="O289" s="41">
        <v>0</v>
      </c>
      <c r="P289" s="41">
        <f t="shared" si="147"/>
        <v>9367364</v>
      </c>
      <c r="Q289" s="41">
        <v>0</v>
      </c>
      <c r="R289" s="41">
        <v>0</v>
      </c>
      <c r="S289" s="41">
        <f t="shared" ref="S289" si="150">M289/J289</f>
        <v>1172.0632616801381</v>
      </c>
      <c r="T289" s="53">
        <v>7920</v>
      </c>
      <c r="U289" s="90" t="s">
        <v>174</v>
      </c>
    </row>
    <row r="290" spans="2:21" s="44" customFormat="1" x14ac:dyDescent="0.25">
      <c r="B290" s="91">
        <v>147</v>
      </c>
      <c r="C290" s="160" t="s">
        <v>352</v>
      </c>
      <c r="D290" s="54">
        <v>1951</v>
      </c>
      <c r="E290" s="55"/>
      <c r="F290" s="55" t="s">
        <v>25</v>
      </c>
      <c r="G290" s="55">
        <v>3</v>
      </c>
      <c r="H290" s="55">
        <v>3</v>
      </c>
      <c r="I290" s="41">
        <v>2015</v>
      </c>
      <c r="J290" s="41">
        <v>1848.5</v>
      </c>
      <c r="K290" s="41">
        <f>J290-191.4</f>
        <v>1657.1</v>
      </c>
      <c r="L290" s="106">
        <v>82</v>
      </c>
      <c r="M290" s="53">
        <v>467928</v>
      </c>
      <c r="N290" s="41">
        <v>0</v>
      </c>
      <c r="O290" s="41">
        <v>0</v>
      </c>
      <c r="P290" s="41">
        <f t="shared" si="147"/>
        <v>467928</v>
      </c>
      <c r="Q290" s="41">
        <v>0</v>
      </c>
      <c r="R290" s="41">
        <v>0</v>
      </c>
      <c r="S290" s="41">
        <f t="shared" ref="S290" si="151">M290/J290</f>
        <v>253.13930213686774</v>
      </c>
      <c r="T290" s="53">
        <v>7920</v>
      </c>
      <c r="U290" s="90" t="s">
        <v>174</v>
      </c>
    </row>
    <row r="291" spans="2:21" s="44" customFormat="1" x14ac:dyDescent="0.25">
      <c r="B291" s="91">
        <v>148</v>
      </c>
      <c r="C291" s="160" t="s">
        <v>353</v>
      </c>
      <c r="D291" s="54">
        <v>1953</v>
      </c>
      <c r="E291" s="55"/>
      <c r="F291" s="55" t="s">
        <v>25</v>
      </c>
      <c r="G291" s="55">
        <v>2</v>
      </c>
      <c r="H291" s="55">
        <v>2</v>
      </c>
      <c r="I291" s="41">
        <v>411.7</v>
      </c>
      <c r="J291" s="41">
        <v>368.5</v>
      </c>
      <c r="K291" s="41">
        <f>J291-21.51</f>
        <v>346.99</v>
      </c>
      <c r="L291" s="106">
        <v>24</v>
      </c>
      <c r="M291" s="41">
        <v>1686238</v>
      </c>
      <c r="N291" s="41">
        <v>0</v>
      </c>
      <c r="O291" s="41">
        <v>0</v>
      </c>
      <c r="P291" s="41">
        <f t="shared" si="147"/>
        <v>1686238</v>
      </c>
      <c r="Q291" s="41">
        <v>0</v>
      </c>
      <c r="R291" s="41">
        <v>0</v>
      </c>
      <c r="S291" s="41">
        <f t="shared" ref="S291" si="152">M291/J291</f>
        <v>4575.9511533242876</v>
      </c>
      <c r="T291" s="53">
        <v>7920</v>
      </c>
      <c r="U291" s="90" t="s">
        <v>174</v>
      </c>
    </row>
    <row r="292" spans="2:21" s="44" customFormat="1" x14ac:dyDescent="0.25">
      <c r="B292" s="89">
        <v>149</v>
      </c>
      <c r="C292" s="160" t="s">
        <v>354</v>
      </c>
      <c r="D292" s="54">
        <v>1926</v>
      </c>
      <c r="E292" s="55"/>
      <c r="F292" s="55" t="s">
        <v>48</v>
      </c>
      <c r="G292" s="55">
        <v>2</v>
      </c>
      <c r="H292" s="55">
        <v>2</v>
      </c>
      <c r="I292" s="41">
        <v>564.5</v>
      </c>
      <c r="J292" s="41">
        <v>519.70000000000005</v>
      </c>
      <c r="K292" s="41">
        <f>J292-63.6</f>
        <v>456.1</v>
      </c>
      <c r="L292" s="106">
        <v>29</v>
      </c>
      <c r="M292" s="41">
        <v>1049062</v>
      </c>
      <c r="N292" s="41">
        <v>0</v>
      </c>
      <c r="O292" s="41">
        <v>0</v>
      </c>
      <c r="P292" s="41">
        <f t="shared" si="147"/>
        <v>1049062</v>
      </c>
      <c r="Q292" s="41">
        <v>0</v>
      </c>
      <c r="R292" s="41">
        <v>0</v>
      </c>
      <c r="S292" s="41">
        <f t="shared" ref="S292" si="153">M292/J292</f>
        <v>2018.5914950933229</v>
      </c>
      <c r="T292" s="53">
        <v>7920</v>
      </c>
      <c r="U292" s="90" t="s">
        <v>174</v>
      </c>
    </row>
    <row r="293" spans="2:21" s="44" customFormat="1" x14ac:dyDescent="0.25">
      <c r="B293" s="89">
        <v>150</v>
      </c>
      <c r="C293" s="160" t="s">
        <v>355</v>
      </c>
      <c r="D293" s="54">
        <v>1971</v>
      </c>
      <c r="E293" s="55"/>
      <c r="F293" s="55" t="s">
        <v>24</v>
      </c>
      <c r="G293" s="55">
        <v>5</v>
      </c>
      <c r="H293" s="55">
        <v>4</v>
      </c>
      <c r="I293" s="41">
        <v>3373.1</v>
      </c>
      <c r="J293" s="41">
        <v>3094.9</v>
      </c>
      <c r="K293" s="41">
        <f>J293-178.5-411.9</f>
        <v>2504.5</v>
      </c>
      <c r="L293" s="106">
        <v>127</v>
      </c>
      <c r="M293" s="41">
        <v>5615350</v>
      </c>
      <c r="N293" s="41">
        <v>0</v>
      </c>
      <c r="O293" s="41">
        <v>0</v>
      </c>
      <c r="P293" s="41">
        <f t="shared" si="147"/>
        <v>5615350</v>
      </c>
      <c r="Q293" s="41">
        <v>0</v>
      </c>
      <c r="R293" s="41">
        <v>0</v>
      </c>
      <c r="S293" s="41">
        <f t="shared" ref="S293" si="154">M293/J293</f>
        <v>1814.3881870173511</v>
      </c>
      <c r="T293" s="53">
        <v>7920</v>
      </c>
      <c r="U293" s="90" t="s">
        <v>174</v>
      </c>
    </row>
    <row r="294" spans="2:21" s="44" customFormat="1" x14ac:dyDescent="0.25">
      <c r="B294" s="89">
        <v>151</v>
      </c>
      <c r="C294" s="160" t="s">
        <v>65</v>
      </c>
      <c r="D294" s="54">
        <v>1984</v>
      </c>
      <c r="E294" s="55"/>
      <c r="F294" s="55" t="s">
        <v>24</v>
      </c>
      <c r="G294" s="55">
        <v>9</v>
      </c>
      <c r="H294" s="55">
        <v>4</v>
      </c>
      <c r="I294" s="41">
        <v>9066.6</v>
      </c>
      <c r="J294" s="41">
        <v>8150.7</v>
      </c>
      <c r="K294" s="41">
        <f>J294-500.3</f>
        <v>7650.4</v>
      </c>
      <c r="L294" s="106">
        <v>362</v>
      </c>
      <c r="M294" s="41">
        <v>18696087</v>
      </c>
      <c r="N294" s="41">
        <v>0</v>
      </c>
      <c r="O294" s="41">
        <v>0</v>
      </c>
      <c r="P294" s="41">
        <f t="shared" si="147"/>
        <v>18696087</v>
      </c>
      <c r="Q294" s="41">
        <v>0</v>
      </c>
      <c r="R294" s="41">
        <v>0</v>
      </c>
      <c r="S294" s="41">
        <f t="shared" ref="S294" si="155">M294/J294</f>
        <v>2293.8013912915458</v>
      </c>
      <c r="T294" s="53">
        <v>7920</v>
      </c>
      <c r="U294" s="90" t="s">
        <v>174</v>
      </c>
    </row>
    <row r="295" spans="2:21" s="44" customFormat="1" x14ac:dyDescent="0.25">
      <c r="B295" s="91">
        <v>152</v>
      </c>
      <c r="C295" s="160" t="s">
        <v>356</v>
      </c>
      <c r="D295" s="54">
        <v>1958</v>
      </c>
      <c r="E295" s="55"/>
      <c r="F295" s="55" t="s">
        <v>25</v>
      </c>
      <c r="G295" s="55">
        <v>2</v>
      </c>
      <c r="H295" s="55">
        <v>2</v>
      </c>
      <c r="I295" s="41">
        <v>433.5</v>
      </c>
      <c r="J295" s="41">
        <v>388.7</v>
      </c>
      <c r="K295" s="41">
        <f>J295</f>
        <v>388.7</v>
      </c>
      <c r="L295" s="106">
        <v>28</v>
      </c>
      <c r="M295" s="41">
        <v>1909721</v>
      </c>
      <c r="N295" s="41">
        <v>0</v>
      </c>
      <c r="O295" s="41">
        <v>0</v>
      </c>
      <c r="P295" s="41">
        <f t="shared" si="147"/>
        <v>1909721</v>
      </c>
      <c r="Q295" s="41">
        <v>0</v>
      </c>
      <c r="R295" s="41">
        <v>0</v>
      </c>
      <c r="S295" s="41">
        <f t="shared" ref="S295" si="156">M295/J295</f>
        <v>4913.0975045021869</v>
      </c>
      <c r="T295" s="53">
        <v>7920</v>
      </c>
      <c r="U295" s="90" t="s">
        <v>174</v>
      </c>
    </row>
    <row r="296" spans="2:21" s="44" customFormat="1" x14ac:dyDescent="0.25">
      <c r="B296" s="91">
        <v>153</v>
      </c>
      <c r="C296" s="160" t="s">
        <v>357</v>
      </c>
      <c r="D296" s="54">
        <v>1959</v>
      </c>
      <c r="E296" s="55"/>
      <c r="F296" s="55" t="s">
        <v>25</v>
      </c>
      <c r="G296" s="55">
        <v>5</v>
      </c>
      <c r="H296" s="55">
        <v>4</v>
      </c>
      <c r="I296" s="41">
        <v>3486.6</v>
      </c>
      <c r="J296" s="41">
        <v>3199.7</v>
      </c>
      <c r="K296" s="41">
        <f>J296-44</f>
        <v>3155.7</v>
      </c>
      <c r="L296" s="106">
        <v>132</v>
      </c>
      <c r="M296" s="41">
        <v>5401034</v>
      </c>
      <c r="N296" s="41">
        <v>0</v>
      </c>
      <c r="O296" s="41">
        <v>0</v>
      </c>
      <c r="P296" s="41">
        <f t="shared" si="147"/>
        <v>5401034</v>
      </c>
      <c r="Q296" s="41">
        <v>0</v>
      </c>
      <c r="R296" s="41">
        <v>0</v>
      </c>
      <c r="S296" s="41">
        <f t="shared" ref="S296" si="157">M296/J296</f>
        <v>1687.9813732537427</v>
      </c>
      <c r="T296" s="53">
        <v>7920</v>
      </c>
      <c r="U296" s="90" t="s">
        <v>174</v>
      </c>
    </row>
    <row r="297" spans="2:21" s="44" customFormat="1" x14ac:dyDescent="0.25">
      <c r="B297" s="89">
        <v>154</v>
      </c>
      <c r="C297" s="160" t="s">
        <v>358</v>
      </c>
      <c r="D297" s="54">
        <v>1968</v>
      </c>
      <c r="E297" s="55"/>
      <c r="F297" s="55" t="s">
        <v>25</v>
      </c>
      <c r="G297" s="55">
        <v>5</v>
      </c>
      <c r="H297" s="55">
        <v>4</v>
      </c>
      <c r="I297" s="41">
        <v>3442</v>
      </c>
      <c r="J297" s="41">
        <v>2835.3</v>
      </c>
      <c r="K297" s="41">
        <f>J297</f>
        <v>2835.3</v>
      </c>
      <c r="L297" s="106">
        <v>151</v>
      </c>
      <c r="M297" s="41">
        <v>3967506</v>
      </c>
      <c r="N297" s="41">
        <v>0</v>
      </c>
      <c r="O297" s="41">
        <v>0</v>
      </c>
      <c r="P297" s="41">
        <f t="shared" si="147"/>
        <v>3967506</v>
      </c>
      <c r="Q297" s="41">
        <v>0</v>
      </c>
      <c r="R297" s="41">
        <v>0</v>
      </c>
      <c r="S297" s="41">
        <f t="shared" ref="S297" si="158">M297/J297</f>
        <v>1399.3249391598772</v>
      </c>
      <c r="T297" s="53">
        <v>7920</v>
      </c>
      <c r="U297" s="90" t="s">
        <v>174</v>
      </c>
    </row>
    <row r="298" spans="2:21" s="44" customFormat="1" x14ac:dyDescent="0.25">
      <c r="B298" s="89">
        <v>155</v>
      </c>
      <c r="C298" s="160" t="s">
        <v>359</v>
      </c>
      <c r="D298" s="54">
        <v>1957</v>
      </c>
      <c r="E298" s="55"/>
      <c r="F298" s="55" t="s">
        <v>25</v>
      </c>
      <c r="G298" s="55">
        <v>2</v>
      </c>
      <c r="H298" s="55">
        <v>2</v>
      </c>
      <c r="I298" s="41">
        <v>426.7</v>
      </c>
      <c r="J298" s="41">
        <v>385.4</v>
      </c>
      <c r="K298" s="41">
        <f>J298</f>
        <v>385.4</v>
      </c>
      <c r="L298" s="106">
        <v>27</v>
      </c>
      <c r="M298" s="41">
        <v>1922647</v>
      </c>
      <c r="N298" s="41">
        <v>0</v>
      </c>
      <c r="O298" s="41">
        <v>0</v>
      </c>
      <c r="P298" s="41">
        <f t="shared" si="147"/>
        <v>1922647</v>
      </c>
      <c r="Q298" s="41">
        <v>0</v>
      </c>
      <c r="R298" s="41">
        <v>0</v>
      </c>
      <c r="S298" s="41">
        <f t="shared" ref="S298" si="159">M298/J298</f>
        <v>4988.7052413077326</v>
      </c>
      <c r="T298" s="53">
        <v>7920</v>
      </c>
      <c r="U298" s="90" t="s">
        <v>174</v>
      </c>
    </row>
    <row r="299" spans="2:21" s="44" customFormat="1" x14ac:dyDescent="0.25">
      <c r="B299" s="89">
        <v>156</v>
      </c>
      <c r="C299" s="160" t="s">
        <v>375</v>
      </c>
      <c r="D299" s="54">
        <v>1981</v>
      </c>
      <c r="E299" s="55"/>
      <c r="F299" s="55" t="s">
        <v>24</v>
      </c>
      <c r="G299" s="55">
        <v>9</v>
      </c>
      <c r="H299" s="55">
        <v>3</v>
      </c>
      <c r="I299" s="41">
        <v>6875.6</v>
      </c>
      <c r="J299" s="41">
        <v>6135.6</v>
      </c>
      <c r="K299" s="41">
        <f>J299-196.2</f>
        <v>5939.4000000000005</v>
      </c>
      <c r="L299" s="106">
        <v>272</v>
      </c>
      <c r="M299" s="41">
        <v>8303420</v>
      </c>
      <c r="N299" s="41">
        <v>0</v>
      </c>
      <c r="O299" s="41">
        <v>0</v>
      </c>
      <c r="P299" s="41">
        <f t="shared" si="147"/>
        <v>8303420</v>
      </c>
      <c r="Q299" s="41">
        <v>0</v>
      </c>
      <c r="R299" s="41">
        <v>0</v>
      </c>
      <c r="S299" s="41">
        <f t="shared" ref="S299" si="160">M299/J299</f>
        <v>1353.3183388747636</v>
      </c>
      <c r="T299" s="53">
        <v>7920</v>
      </c>
      <c r="U299" s="90" t="s">
        <v>174</v>
      </c>
    </row>
    <row r="300" spans="2:21" s="44" customFormat="1" x14ac:dyDescent="0.25">
      <c r="B300" s="91">
        <v>157</v>
      </c>
      <c r="C300" s="160" t="s">
        <v>360</v>
      </c>
      <c r="D300" s="54">
        <v>1986</v>
      </c>
      <c r="E300" s="55"/>
      <c r="F300" s="55" t="s">
        <v>24</v>
      </c>
      <c r="G300" s="55">
        <v>9</v>
      </c>
      <c r="H300" s="55">
        <v>3</v>
      </c>
      <c r="I300" s="41">
        <v>9783.5</v>
      </c>
      <c r="J300" s="41">
        <v>9111.2000000000007</v>
      </c>
      <c r="K300" s="41">
        <f>J300-431.9</f>
        <v>8679.3000000000011</v>
      </c>
      <c r="L300" s="106">
        <v>179</v>
      </c>
      <c r="M300" s="53">
        <v>3431464</v>
      </c>
      <c r="N300" s="41">
        <v>0</v>
      </c>
      <c r="O300" s="41">
        <v>0</v>
      </c>
      <c r="P300" s="41">
        <f t="shared" si="147"/>
        <v>3431464</v>
      </c>
      <c r="Q300" s="41">
        <v>0</v>
      </c>
      <c r="R300" s="41">
        <v>0</v>
      </c>
      <c r="S300" s="41">
        <f t="shared" ref="S300:S302" si="161">M300/J300</f>
        <v>376.62042321538325</v>
      </c>
      <c r="T300" s="53">
        <v>7920</v>
      </c>
      <c r="U300" s="90" t="s">
        <v>174</v>
      </c>
    </row>
    <row r="301" spans="2:21" s="44" customFormat="1" x14ac:dyDescent="0.25">
      <c r="B301" s="91">
        <v>158</v>
      </c>
      <c r="C301" s="160" t="s">
        <v>361</v>
      </c>
      <c r="D301" s="54">
        <v>1980</v>
      </c>
      <c r="E301" s="55"/>
      <c r="F301" s="55" t="s">
        <v>24</v>
      </c>
      <c r="G301" s="55">
        <v>9</v>
      </c>
      <c r="H301" s="55">
        <v>2</v>
      </c>
      <c r="I301" s="41">
        <v>3863.3</v>
      </c>
      <c r="J301" s="41">
        <v>3844.8</v>
      </c>
      <c r="K301" s="41">
        <f>J301-359.8</f>
        <v>3485</v>
      </c>
      <c r="L301" s="106">
        <v>147</v>
      </c>
      <c r="M301" s="41">
        <v>3911502</v>
      </c>
      <c r="N301" s="41">
        <v>0</v>
      </c>
      <c r="O301" s="41">
        <v>0</v>
      </c>
      <c r="P301" s="41">
        <f t="shared" si="147"/>
        <v>3911502</v>
      </c>
      <c r="Q301" s="41">
        <v>0</v>
      </c>
      <c r="R301" s="41">
        <v>0</v>
      </c>
      <c r="S301" s="41">
        <f t="shared" si="161"/>
        <v>1017.3486267166041</v>
      </c>
      <c r="T301" s="53">
        <v>7920</v>
      </c>
      <c r="U301" s="90" t="s">
        <v>174</v>
      </c>
    </row>
    <row r="302" spans="2:21" s="44" customFormat="1" x14ac:dyDescent="0.25">
      <c r="B302" s="89">
        <v>159</v>
      </c>
      <c r="C302" s="160" t="s">
        <v>362</v>
      </c>
      <c r="D302" s="54">
        <v>1960</v>
      </c>
      <c r="E302" s="55"/>
      <c r="F302" s="55" t="s">
        <v>25</v>
      </c>
      <c r="G302" s="55">
        <v>4</v>
      </c>
      <c r="H302" s="55">
        <v>3</v>
      </c>
      <c r="I302" s="41">
        <v>2188</v>
      </c>
      <c r="J302" s="41">
        <v>2040.8</v>
      </c>
      <c r="K302" s="41">
        <f>J302-184.2</f>
        <v>1856.6</v>
      </c>
      <c r="L302" s="106">
        <v>97</v>
      </c>
      <c r="M302" s="53">
        <v>1842806</v>
      </c>
      <c r="N302" s="41">
        <v>0</v>
      </c>
      <c r="O302" s="41">
        <v>0</v>
      </c>
      <c r="P302" s="41">
        <f t="shared" si="147"/>
        <v>1842806</v>
      </c>
      <c r="Q302" s="41">
        <v>0</v>
      </c>
      <c r="R302" s="41">
        <v>0</v>
      </c>
      <c r="S302" s="41">
        <f t="shared" si="161"/>
        <v>902.98216385731087</v>
      </c>
      <c r="T302" s="53">
        <v>7920</v>
      </c>
      <c r="U302" s="90" t="s">
        <v>174</v>
      </c>
    </row>
    <row r="303" spans="2:21" s="44" customFormat="1" x14ac:dyDescent="0.25">
      <c r="B303" s="89">
        <v>160</v>
      </c>
      <c r="C303" s="160" t="s">
        <v>363</v>
      </c>
      <c r="D303" s="54">
        <v>1965</v>
      </c>
      <c r="E303" s="55"/>
      <c r="F303" s="55" t="s">
        <v>24</v>
      </c>
      <c r="G303" s="55">
        <v>5</v>
      </c>
      <c r="H303" s="55">
        <v>5</v>
      </c>
      <c r="I303" s="41">
        <v>3654.8</v>
      </c>
      <c r="J303" s="41">
        <v>3252.7</v>
      </c>
      <c r="K303" s="41">
        <f>J303-467.7</f>
        <v>2785</v>
      </c>
      <c r="L303" s="106">
        <v>140</v>
      </c>
      <c r="M303" s="53">
        <v>840406</v>
      </c>
      <c r="N303" s="41">
        <v>0</v>
      </c>
      <c r="O303" s="41">
        <v>0</v>
      </c>
      <c r="P303" s="41">
        <f t="shared" si="147"/>
        <v>840406</v>
      </c>
      <c r="Q303" s="41">
        <v>0</v>
      </c>
      <c r="R303" s="41">
        <v>0</v>
      </c>
      <c r="S303" s="41">
        <f t="shared" ref="S303" si="162">M303/J303</f>
        <v>258.37181418513853</v>
      </c>
      <c r="T303" s="53">
        <v>7920</v>
      </c>
      <c r="U303" s="90" t="s">
        <v>174</v>
      </c>
    </row>
    <row r="304" spans="2:21" s="44" customFormat="1" x14ac:dyDescent="0.25">
      <c r="B304" s="89">
        <v>161</v>
      </c>
      <c r="C304" s="160" t="s">
        <v>364</v>
      </c>
      <c r="D304" s="54">
        <v>1984</v>
      </c>
      <c r="E304" s="55"/>
      <c r="F304" s="55" t="s">
        <v>24</v>
      </c>
      <c r="G304" s="55">
        <v>9</v>
      </c>
      <c r="H304" s="55">
        <v>5</v>
      </c>
      <c r="I304" s="41">
        <v>11476.1</v>
      </c>
      <c r="J304" s="41">
        <v>10001.700000000001</v>
      </c>
      <c r="K304" s="41">
        <f>J304-278.2-395.3</f>
        <v>9328.2000000000007</v>
      </c>
      <c r="L304" s="106">
        <v>400</v>
      </c>
      <c r="M304" s="41">
        <v>20970134</v>
      </c>
      <c r="N304" s="41">
        <v>0</v>
      </c>
      <c r="O304" s="41">
        <v>0</v>
      </c>
      <c r="P304" s="41">
        <f t="shared" si="147"/>
        <v>20970134</v>
      </c>
      <c r="Q304" s="41">
        <v>0</v>
      </c>
      <c r="R304" s="41">
        <v>0</v>
      </c>
      <c r="S304" s="41">
        <f t="shared" ref="S304" si="163">M304/J304</f>
        <v>2096.6569683153862</v>
      </c>
      <c r="T304" s="53">
        <v>7920</v>
      </c>
      <c r="U304" s="90" t="s">
        <v>174</v>
      </c>
    </row>
    <row r="305" spans="2:21" s="44" customFormat="1" x14ac:dyDescent="0.25">
      <c r="B305" s="91">
        <v>162</v>
      </c>
      <c r="C305" s="160" t="s">
        <v>365</v>
      </c>
      <c r="D305" s="54">
        <v>1979</v>
      </c>
      <c r="E305" s="55"/>
      <c r="F305" s="55" t="s">
        <v>24</v>
      </c>
      <c r="G305" s="55">
        <v>9</v>
      </c>
      <c r="H305" s="55">
        <v>2</v>
      </c>
      <c r="I305" s="41">
        <v>4202.3999999999996</v>
      </c>
      <c r="J305" s="41">
        <v>3740.7</v>
      </c>
      <c r="K305" s="41">
        <f>J305-79.8</f>
        <v>3660.8999999999996</v>
      </c>
      <c r="L305" s="106">
        <v>158</v>
      </c>
      <c r="M305" s="41">
        <v>3910766</v>
      </c>
      <c r="N305" s="41">
        <v>0</v>
      </c>
      <c r="O305" s="41">
        <v>0</v>
      </c>
      <c r="P305" s="41">
        <f t="shared" si="147"/>
        <v>3910766</v>
      </c>
      <c r="Q305" s="41">
        <v>0</v>
      </c>
      <c r="R305" s="41">
        <v>0</v>
      </c>
      <c r="S305" s="41">
        <f t="shared" ref="S305" si="164">M305/J305</f>
        <v>1045.4636832678377</v>
      </c>
      <c r="T305" s="53">
        <v>7920</v>
      </c>
      <c r="U305" s="90" t="s">
        <v>174</v>
      </c>
    </row>
    <row r="306" spans="2:21" s="44" customFormat="1" x14ac:dyDescent="0.25">
      <c r="B306" s="91">
        <v>163</v>
      </c>
      <c r="C306" s="160" t="s">
        <v>201</v>
      </c>
      <c r="D306" s="54">
        <v>1987</v>
      </c>
      <c r="E306" s="55"/>
      <c r="F306" s="55" t="s">
        <v>24</v>
      </c>
      <c r="G306" s="55">
        <v>9</v>
      </c>
      <c r="H306" s="55">
        <v>4</v>
      </c>
      <c r="I306" s="41">
        <v>8694</v>
      </c>
      <c r="J306" s="41">
        <v>7667.4</v>
      </c>
      <c r="K306" s="41">
        <f>J306-282</f>
        <v>7385.4</v>
      </c>
      <c r="L306" s="106">
        <v>365</v>
      </c>
      <c r="M306" s="53">
        <v>3218731</v>
      </c>
      <c r="N306" s="41">
        <v>0</v>
      </c>
      <c r="O306" s="41">
        <v>0</v>
      </c>
      <c r="P306" s="41">
        <f t="shared" si="147"/>
        <v>3218731</v>
      </c>
      <c r="Q306" s="41">
        <v>0</v>
      </c>
      <c r="R306" s="41">
        <v>0</v>
      </c>
      <c r="S306" s="41">
        <f t="shared" ref="S306:S307" si="165">M306/J306</f>
        <v>419.79432402118061</v>
      </c>
      <c r="T306" s="53">
        <v>7920</v>
      </c>
      <c r="U306" s="90" t="s">
        <v>174</v>
      </c>
    </row>
    <row r="307" spans="2:21" s="44" customFormat="1" x14ac:dyDescent="0.25">
      <c r="B307" s="89">
        <v>164</v>
      </c>
      <c r="C307" s="160" t="s">
        <v>366</v>
      </c>
      <c r="D307" s="54">
        <v>1987</v>
      </c>
      <c r="E307" s="55"/>
      <c r="F307" s="55" t="s">
        <v>24</v>
      </c>
      <c r="G307" s="55">
        <v>9</v>
      </c>
      <c r="H307" s="55">
        <v>1</v>
      </c>
      <c r="I307" s="41">
        <v>1911.2</v>
      </c>
      <c r="J307" s="41">
        <v>1893.6</v>
      </c>
      <c r="K307" s="41">
        <f>J307</f>
        <v>1893.6</v>
      </c>
      <c r="L307" s="106">
        <v>82</v>
      </c>
      <c r="M307" s="41">
        <v>2792775</v>
      </c>
      <c r="N307" s="41">
        <v>0</v>
      </c>
      <c r="O307" s="41">
        <v>0</v>
      </c>
      <c r="P307" s="41">
        <f t="shared" si="147"/>
        <v>2792775</v>
      </c>
      <c r="Q307" s="41">
        <v>0</v>
      </c>
      <c r="R307" s="41">
        <v>0</v>
      </c>
      <c r="S307" s="41">
        <f t="shared" si="165"/>
        <v>1474.8494930291508</v>
      </c>
      <c r="T307" s="53">
        <v>7920</v>
      </c>
      <c r="U307" s="90" t="s">
        <v>174</v>
      </c>
    </row>
    <row r="308" spans="2:21" s="44" customFormat="1" x14ac:dyDescent="0.25">
      <c r="B308" s="89">
        <v>165</v>
      </c>
      <c r="C308" s="160" t="s">
        <v>367</v>
      </c>
      <c r="D308" s="54">
        <v>1989</v>
      </c>
      <c r="E308" s="55"/>
      <c r="F308" s="55" t="s">
        <v>24</v>
      </c>
      <c r="G308" s="55">
        <v>5</v>
      </c>
      <c r="H308" s="55">
        <v>3</v>
      </c>
      <c r="I308" s="41">
        <v>2457.9</v>
      </c>
      <c r="J308" s="41">
        <v>2139.1999999999998</v>
      </c>
      <c r="K308" s="41">
        <f>J308-108.8</f>
        <v>2030.3999999999999</v>
      </c>
      <c r="L308" s="106">
        <v>135</v>
      </c>
      <c r="M308" s="53">
        <v>1378607</v>
      </c>
      <c r="N308" s="41">
        <v>0</v>
      </c>
      <c r="O308" s="41">
        <v>0</v>
      </c>
      <c r="P308" s="41">
        <f t="shared" si="147"/>
        <v>1378607</v>
      </c>
      <c r="Q308" s="41">
        <v>0</v>
      </c>
      <c r="R308" s="41">
        <v>0</v>
      </c>
      <c r="S308" s="41">
        <f t="shared" ref="S308:S309" si="166">M308/J308</f>
        <v>644.44979431563206</v>
      </c>
      <c r="T308" s="53">
        <v>7920</v>
      </c>
      <c r="U308" s="90" t="s">
        <v>174</v>
      </c>
    </row>
    <row r="309" spans="2:21" s="44" customFormat="1" x14ac:dyDescent="0.25">
      <c r="B309" s="89">
        <v>166</v>
      </c>
      <c r="C309" s="160" t="s">
        <v>377</v>
      </c>
      <c r="D309" s="54">
        <v>1986</v>
      </c>
      <c r="E309" s="55"/>
      <c r="F309" s="55" t="s">
        <v>25</v>
      </c>
      <c r="G309" s="55">
        <v>9</v>
      </c>
      <c r="H309" s="55">
        <v>1</v>
      </c>
      <c r="I309" s="41">
        <v>2303.9</v>
      </c>
      <c r="J309" s="41">
        <v>2004.4</v>
      </c>
      <c r="K309" s="41">
        <f>J309-56.4</f>
        <v>1948</v>
      </c>
      <c r="L309" s="106">
        <v>76</v>
      </c>
      <c r="M309" s="41">
        <v>1961031</v>
      </c>
      <c r="N309" s="41">
        <v>0</v>
      </c>
      <c r="O309" s="41">
        <v>0</v>
      </c>
      <c r="P309" s="41">
        <f t="shared" si="147"/>
        <v>1961031</v>
      </c>
      <c r="Q309" s="41">
        <v>0</v>
      </c>
      <c r="R309" s="41">
        <v>0</v>
      </c>
      <c r="S309" s="41">
        <f t="shared" si="166"/>
        <v>978.3631011774097</v>
      </c>
      <c r="T309" s="53">
        <v>7920</v>
      </c>
      <c r="U309" s="90" t="s">
        <v>174</v>
      </c>
    </row>
    <row r="310" spans="2:21" s="44" customFormat="1" x14ac:dyDescent="0.25">
      <c r="B310" s="91">
        <v>167</v>
      </c>
      <c r="C310" s="160" t="s">
        <v>368</v>
      </c>
      <c r="D310" s="54">
        <v>1927</v>
      </c>
      <c r="E310" s="55"/>
      <c r="F310" s="55" t="s">
        <v>48</v>
      </c>
      <c r="G310" s="55">
        <v>2</v>
      </c>
      <c r="H310" s="55">
        <v>1</v>
      </c>
      <c r="I310" s="41">
        <v>351.1</v>
      </c>
      <c r="J310" s="41">
        <v>322.89999999999998</v>
      </c>
      <c r="K310" s="41">
        <f>J310-38.8</f>
        <v>284.09999999999997</v>
      </c>
      <c r="L310" s="106">
        <v>16</v>
      </c>
      <c r="M310" s="41">
        <v>1074704</v>
      </c>
      <c r="N310" s="41">
        <v>0</v>
      </c>
      <c r="O310" s="41">
        <v>0</v>
      </c>
      <c r="P310" s="41">
        <f t="shared" si="147"/>
        <v>1074704</v>
      </c>
      <c r="Q310" s="41">
        <v>0</v>
      </c>
      <c r="R310" s="41">
        <v>0</v>
      </c>
      <c r="S310" s="41">
        <f t="shared" ref="S310" si="167">M310/J310</f>
        <v>3328.2873954784764</v>
      </c>
      <c r="T310" s="53">
        <v>7920</v>
      </c>
      <c r="U310" s="90" t="s">
        <v>174</v>
      </c>
    </row>
    <row r="311" spans="2:21" s="44" customFormat="1" x14ac:dyDescent="0.25">
      <c r="B311" s="91">
        <v>168</v>
      </c>
      <c r="C311" s="160" t="s">
        <v>369</v>
      </c>
      <c r="D311" s="54">
        <v>1939</v>
      </c>
      <c r="E311" s="55"/>
      <c r="F311" s="55" t="s">
        <v>25</v>
      </c>
      <c r="G311" s="55">
        <v>4</v>
      </c>
      <c r="H311" s="55">
        <v>7</v>
      </c>
      <c r="I311" s="41">
        <v>4990.8999999999996</v>
      </c>
      <c r="J311" s="41">
        <v>4423.3999999999996</v>
      </c>
      <c r="K311" s="41">
        <f>J311-383.4-136.5</f>
        <v>3903.4999999999995</v>
      </c>
      <c r="L311" s="106">
        <v>145</v>
      </c>
      <c r="M311" s="41">
        <v>13112981</v>
      </c>
      <c r="N311" s="41">
        <v>0</v>
      </c>
      <c r="O311" s="41">
        <v>0</v>
      </c>
      <c r="P311" s="41">
        <f t="shared" si="147"/>
        <v>13112981</v>
      </c>
      <c r="Q311" s="41">
        <v>0</v>
      </c>
      <c r="R311" s="41">
        <v>0</v>
      </c>
      <c r="S311" s="41">
        <f t="shared" ref="S311" si="168">M311/J311</f>
        <v>2964.4574309354798</v>
      </c>
      <c r="T311" s="53">
        <v>7920</v>
      </c>
      <c r="U311" s="90" t="s">
        <v>174</v>
      </c>
    </row>
    <row r="312" spans="2:21" s="44" customFormat="1" x14ac:dyDescent="0.25">
      <c r="B312" s="89">
        <v>169</v>
      </c>
      <c r="C312" s="160" t="s">
        <v>370</v>
      </c>
      <c r="D312" s="54">
        <v>1929</v>
      </c>
      <c r="E312" s="55"/>
      <c r="F312" s="55" t="s">
        <v>25</v>
      </c>
      <c r="G312" s="55">
        <v>3</v>
      </c>
      <c r="H312" s="55">
        <v>1</v>
      </c>
      <c r="I312" s="41">
        <v>1271</v>
      </c>
      <c r="J312" s="41">
        <v>1164.0999999999999</v>
      </c>
      <c r="K312" s="41">
        <f>J312-876</f>
        <v>288.09999999999991</v>
      </c>
      <c r="L312" s="106">
        <v>11</v>
      </c>
      <c r="M312" s="41">
        <v>1600936</v>
      </c>
      <c r="N312" s="41">
        <v>0</v>
      </c>
      <c r="O312" s="41">
        <v>0</v>
      </c>
      <c r="P312" s="41">
        <f t="shared" si="147"/>
        <v>1600936</v>
      </c>
      <c r="Q312" s="41">
        <v>0</v>
      </c>
      <c r="R312" s="41">
        <v>0</v>
      </c>
      <c r="S312" s="41">
        <f t="shared" ref="S312" si="169">M312/J312</f>
        <v>1375.2564212696504</v>
      </c>
      <c r="T312" s="53">
        <v>7920</v>
      </c>
      <c r="U312" s="90" t="s">
        <v>174</v>
      </c>
    </row>
    <row r="313" spans="2:21" s="44" customFormat="1" x14ac:dyDescent="0.25">
      <c r="B313" s="89">
        <v>170</v>
      </c>
      <c r="C313" s="160" t="s">
        <v>371</v>
      </c>
      <c r="D313" s="54">
        <v>1929</v>
      </c>
      <c r="E313" s="55"/>
      <c r="F313" s="55" t="s">
        <v>47</v>
      </c>
      <c r="G313" s="55">
        <v>3</v>
      </c>
      <c r="H313" s="55">
        <v>2</v>
      </c>
      <c r="I313" s="41">
        <v>1006.1</v>
      </c>
      <c r="J313" s="41">
        <v>966.2</v>
      </c>
      <c r="K313" s="41">
        <f>J313-58.1</f>
        <v>908.1</v>
      </c>
      <c r="L313" s="106">
        <v>41</v>
      </c>
      <c r="M313" s="41">
        <v>3012208</v>
      </c>
      <c r="N313" s="41">
        <v>0</v>
      </c>
      <c r="O313" s="41">
        <v>0</v>
      </c>
      <c r="P313" s="41">
        <f t="shared" si="147"/>
        <v>3012208</v>
      </c>
      <c r="Q313" s="41">
        <v>0</v>
      </c>
      <c r="R313" s="41">
        <v>0</v>
      </c>
      <c r="S313" s="41">
        <f t="shared" ref="S313" si="170">M313/J313</f>
        <v>3117.5822811012213</v>
      </c>
      <c r="T313" s="53">
        <v>7920</v>
      </c>
      <c r="U313" s="90" t="s">
        <v>174</v>
      </c>
    </row>
    <row r="314" spans="2:21" s="44" customFormat="1" x14ac:dyDescent="0.25">
      <c r="B314" s="89">
        <v>171</v>
      </c>
      <c r="C314" s="160" t="s">
        <v>372</v>
      </c>
      <c r="D314" s="54">
        <v>1950</v>
      </c>
      <c r="E314" s="55"/>
      <c r="F314" s="55" t="s">
        <v>47</v>
      </c>
      <c r="G314" s="55">
        <v>2</v>
      </c>
      <c r="H314" s="55">
        <v>1</v>
      </c>
      <c r="I314" s="41">
        <v>463.1</v>
      </c>
      <c r="J314" s="41">
        <v>422.3</v>
      </c>
      <c r="K314" s="41">
        <f>J314-53.6-136.5</f>
        <v>232.2</v>
      </c>
      <c r="L314" s="106">
        <v>20</v>
      </c>
      <c r="M314" s="41">
        <v>500184</v>
      </c>
      <c r="N314" s="41">
        <v>0</v>
      </c>
      <c r="O314" s="41">
        <v>0</v>
      </c>
      <c r="P314" s="41">
        <f t="shared" si="147"/>
        <v>500184</v>
      </c>
      <c r="Q314" s="41">
        <v>0</v>
      </c>
      <c r="R314" s="41">
        <v>0</v>
      </c>
      <c r="S314" s="41">
        <f t="shared" ref="S314" si="171">M314/J314</f>
        <v>1184.4281316599574</v>
      </c>
      <c r="T314" s="53">
        <v>7920</v>
      </c>
      <c r="U314" s="90" t="s">
        <v>174</v>
      </c>
    </row>
    <row r="315" spans="2:21" s="44" customFormat="1" x14ac:dyDescent="0.25">
      <c r="B315" s="91">
        <v>172</v>
      </c>
      <c r="C315" s="160" t="s">
        <v>381</v>
      </c>
      <c r="D315" s="54">
        <v>1964</v>
      </c>
      <c r="E315" s="55"/>
      <c r="F315" s="55" t="s">
        <v>25</v>
      </c>
      <c r="G315" s="55">
        <v>5</v>
      </c>
      <c r="H315" s="55">
        <v>4</v>
      </c>
      <c r="I315" s="41">
        <v>4243</v>
      </c>
      <c r="J315" s="41">
        <v>3248.9</v>
      </c>
      <c r="K315" s="41">
        <f>J315-705.7-425.1</f>
        <v>2118.1</v>
      </c>
      <c r="L315" s="106">
        <v>114</v>
      </c>
      <c r="M315" s="53">
        <v>2797738</v>
      </c>
      <c r="N315" s="41">
        <v>0</v>
      </c>
      <c r="O315" s="41">
        <v>0</v>
      </c>
      <c r="P315" s="41">
        <f t="shared" si="147"/>
        <v>2797738</v>
      </c>
      <c r="Q315" s="41">
        <v>0</v>
      </c>
      <c r="R315" s="41">
        <v>0</v>
      </c>
      <c r="S315" s="41">
        <f t="shared" ref="S315" si="172">M315/J315</f>
        <v>861.13392225060784</v>
      </c>
      <c r="T315" s="53">
        <v>7920</v>
      </c>
      <c r="U315" s="90" t="s">
        <v>174</v>
      </c>
    </row>
    <row r="316" spans="2:21" s="44" customFormat="1" x14ac:dyDescent="0.25">
      <c r="B316" s="91">
        <v>173</v>
      </c>
      <c r="C316" s="160" t="s">
        <v>373</v>
      </c>
      <c r="D316" s="54">
        <v>1984</v>
      </c>
      <c r="E316" s="55"/>
      <c r="F316" s="55" t="s">
        <v>24</v>
      </c>
      <c r="G316" s="55">
        <v>9</v>
      </c>
      <c r="H316" s="55">
        <v>1</v>
      </c>
      <c r="I316" s="41">
        <v>5289.8</v>
      </c>
      <c r="J316" s="41">
        <v>4502.8</v>
      </c>
      <c r="K316" s="41">
        <f>J316-615.4-322.5</f>
        <v>3564.9</v>
      </c>
      <c r="L316" s="106">
        <v>214</v>
      </c>
      <c r="M316" s="41">
        <v>6485780</v>
      </c>
      <c r="N316" s="41">
        <v>0</v>
      </c>
      <c r="O316" s="41">
        <v>0</v>
      </c>
      <c r="P316" s="41">
        <f t="shared" si="147"/>
        <v>6485780</v>
      </c>
      <c r="Q316" s="41">
        <v>0</v>
      </c>
      <c r="R316" s="41">
        <v>0</v>
      </c>
      <c r="S316" s="41">
        <f t="shared" ref="S316" si="173">M316/J316</f>
        <v>1440.3882028959758</v>
      </c>
      <c r="T316" s="53">
        <v>7920</v>
      </c>
      <c r="U316" s="90" t="s">
        <v>174</v>
      </c>
    </row>
    <row r="317" spans="2:21" ht="15" customHeight="1" x14ac:dyDescent="0.25">
      <c r="B317" s="203" t="s">
        <v>150</v>
      </c>
      <c r="C317" s="204"/>
      <c r="D317" s="88" t="s">
        <v>26</v>
      </c>
      <c r="E317" s="88" t="s">
        <v>26</v>
      </c>
      <c r="F317" s="88" t="s">
        <v>26</v>
      </c>
      <c r="G317" s="88" t="s">
        <v>26</v>
      </c>
      <c r="H317" s="88" t="s">
        <v>26</v>
      </c>
      <c r="I317" s="92">
        <f>SUM(I144:I316)</f>
        <v>805052.45999999973</v>
      </c>
      <c r="J317" s="92">
        <f t="shared" ref="J317:R317" si="174">SUM(J144:J316)</f>
        <v>706088.08</v>
      </c>
      <c r="K317" s="92">
        <f t="shared" si="174"/>
        <v>645679.31000000017</v>
      </c>
      <c r="L317" s="92">
        <f t="shared" si="174"/>
        <v>31463</v>
      </c>
      <c r="M317" s="92">
        <f t="shared" si="174"/>
        <v>829484620</v>
      </c>
      <c r="N317" s="92">
        <f t="shared" si="174"/>
        <v>0</v>
      </c>
      <c r="O317" s="92">
        <f t="shared" si="174"/>
        <v>0</v>
      </c>
      <c r="P317" s="92">
        <f t="shared" si="174"/>
        <v>829484620</v>
      </c>
      <c r="Q317" s="92">
        <f t="shared" si="174"/>
        <v>0</v>
      </c>
      <c r="R317" s="92">
        <f t="shared" si="174"/>
        <v>0</v>
      </c>
      <c r="S317" s="88" t="s">
        <v>26</v>
      </c>
      <c r="T317" s="88" t="s">
        <v>26</v>
      </c>
      <c r="U317" s="95" t="s">
        <v>26</v>
      </c>
    </row>
    <row r="318" spans="2:21" s="131" customFormat="1" ht="15" customHeight="1" x14ac:dyDescent="0.25">
      <c r="B318" s="200" t="s">
        <v>38</v>
      </c>
      <c r="C318" s="201"/>
      <c r="D318" s="201"/>
      <c r="E318" s="201"/>
      <c r="F318" s="201"/>
      <c r="G318" s="201"/>
      <c r="H318" s="201"/>
      <c r="I318" s="201"/>
      <c r="J318" s="201"/>
      <c r="K318" s="201"/>
      <c r="L318" s="201"/>
      <c r="M318" s="201"/>
      <c r="N318" s="201"/>
      <c r="O318" s="201"/>
      <c r="P318" s="201"/>
      <c r="Q318" s="201"/>
      <c r="R318" s="201"/>
      <c r="S318" s="201"/>
      <c r="T318" s="201"/>
      <c r="U318" s="202"/>
    </row>
    <row r="319" spans="2:21" s="131" customFormat="1" ht="15" customHeight="1" x14ac:dyDescent="0.25">
      <c r="B319" s="89">
        <v>1</v>
      </c>
      <c r="C319" s="29" t="s">
        <v>26</v>
      </c>
      <c r="D319" s="55"/>
      <c r="E319" s="55"/>
      <c r="F319" s="55"/>
      <c r="G319" s="55"/>
      <c r="H319" s="55"/>
      <c r="I319" s="1">
        <v>0</v>
      </c>
      <c r="J319" s="1">
        <v>0</v>
      </c>
      <c r="K319" s="1">
        <v>0</v>
      </c>
      <c r="L319" s="106">
        <f t="shared" ref="L319" si="175">L315</f>
        <v>114</v>
      </c>
      <c r="M319" s="1">
        <v>0</v>
      </c>
      <c r="N319" s="1">
        <v>0</v>
      </c>
      <c r="O319" s="1">
        <v>0</v>
      </c>
      <c r="P319" s="1">
        <v>0</v>
      </c>
      <c r="Q319" s="1"/>
      <c r="R319" s="1">
        <v>0</v>
      </c>
      <c r="S319" s="41"/>
      <c r="T319" s="53"/>
      <c r="U319" s="90"/>
    </row>
    <row r="320" spans="2:21" s="131" customFormat="1" ht="15" customHeight="1" x14ac:dyDescent="0.25">
      <c r="B320" s="203" t="s">
        <v>150</v>
      </c>
      <c r="C320" s="204"/>
      <c r="D320" s="88" t="s">
        <v>26</v>
      </c>
      <c r="E320" s="88" t="s">
        <v>26</v>
      </c>
      <c r="F320" s="88" t="s">
        <v>26</v>
      </c>
      <c r="G320" s="88" t="s">
        <v>26</v>
      </c>
      <c r="H320" s="88" t="s">
        <v>26</v>
      </c>
      <c r="I320" s="92">
        <v>0</v>
      </c>
      <c r="J320" s="92">
        <v>0</v>
      </c>
      <c r="K320" s="92">
        <v>0</v>
      </c>
      <c r="L320" s="107">
        <v>0</v>
      </c>
      <c r="M320" s="92">
        <v>0</v>
      </c>
      <c r="N320" s="92">
        <v>0</v>
      </c>
      <c r="O320" s="92">
        <v>0</v>
      </c>
      <c r="P320" s="92">
        <v>0</v>
      </c>
      <c r="Q320" s="92"/>
      <c r="R320" s="37">
        <f t="shared" ref="R320" si="176">R316</f>
        <v>0</v>
      </c>
      <c r="S320" s="88" t="s">
        <v>26</v>
      </c>
      <c r="T320" s="88" t="s">
        <v>26</v>
      </c>
      <c r="U320" s="95" t="s">
        <v>26</v>
      </c>
    </row>
    <row r="321" spans="2:21" ht="21" customHeight="1" x14ac:dyDescent="0.25">
      <c r="B321" s="200" t="s">
        <v>151</v>
      </c>
      <c r="C321" s="201"/>
      <c r="D321" s="201"/>
      <c r="E321" s="201"/>
      <c r="F321" s="201"/>
      <c r="G321" s="201"/>
      <c r="H321" s="201"/>
      <c r="I321" s="201"/>
      <c r="J321" s="201"/>
      <c r="K321" s="201"/>
      <c r="L321" s="201"/>
      <c r="M321" s="201"/>
      <c r="N321" s="201"/>
      <c r="O321" s="201"/>
      <c r="P321" s="201"/>
      <c r="Q321" s="201"/>
      <c r="R321" s="201"/>
      <c r="S321" s="201"/>
      <c r="T321" s="201"/>
      <c r="U321" s="202"/>
    </row>
    <row r="322" spans="2:21" ht="15" customHeight="1" x14ac:dyDescent="0.25">
      <c r="B322" s="72">
        <v>1</v>
      </c>
      <c r="C322" s="29" t="s">
        <v>26</v>
      </c>
      <c r="D322" s="29" t="s">
        <v>26</v>
      </c>
      <c r="E322" s="29" t="s">
        <v>26</v>
      </c>
      <c r="F322" s="29" t="s">
        <v>26</v>
      </c>
      <c r="G322" s="29" t="s">
        <v>26</v>
      </c>
      <c r="H322" s="29" t="s">
        <v>26</v>
      </c>
      <c r="I322" s="1">
        <v>0</v>
      </c>
      <c r="J322" s="1">
        <v>0</v>
      </c>
      <c r="K322" s="1">
        <v>0</v>
      </c>
      <c r="L322" s="106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29" t="s">
        <v>26</v>
      </c>
      <c r="T322" s="29" t="s">
        <v>26</v>
      </c>
      <c r="U322" s="31" t="s">
        <v>26</v>
      </c>
    </row>
    <row r="323" spans="2:21" ht="15" customHeight="1" thickBot="1" x14ac:dyDescent="0.3">
      <c r="B323" s="196" t="s">
        <v>150</v>
      </c>
      <c r="C323" s="197"/>
      <c r="D323" s="36" t="s">
        <v>26</v>
      </c>
      <c r="E323" s="36" t="s">
        <v>26</v>
      </c>
      <c r="F323" s="36" t="s">
        <v>26</v>
      </c>
      <c r="G323" s="36" t="s">
        <v>26</v>
      </c>
      <c r="H323" s="36" t="s">
        <v>26</v>
      </c>
      <c r="I323" s="94">
        <v>0</v>
      </c>
      <c r="J323" s="94">
        <v>0</v>
      </c>
      <c r="K323" s="94">
        <v>0</v>
      </c>
      <c r="L323" s="107">
        <v>0</v>
      </c>
      <c r="M323" s="94">
        <v>0</v>
      </c>
      <c r="N323" s="94">
        <v>0</v>
      </c>
      <c r="O323" s="94">
        <v>0</v>
      </c>
      <c r="P323" s="94">
        <v>0</v>
      </c>
      <c r="Q323" s="94">
        <v>0</v>
      </c>
      <c r="R323" s="94">
        <v>0</v>
      </c>
      <c r="S323" s="36" t="s">
        <v>26</v>
      </c>
      <c r="T323" s="36" t="s">
        <v>26</v>
      </c>
      <c r="U323" s="101" t="s">
        <v>26</v>
      </c>
    </row>
    <row r="324" spans="2:21" ht="30" customHeight="1" x14ac:dyDescent="0.25">
      <c r="B324" s="205" t="s">
        <v>153</v>
      </c>
      <c r="C324" s="206"/>
      <c r="D324" s="206"/>
      <c r="E324" s="206"/>
      <c r="F324" s="206"/>
      <c r="G324" s="206"/>
      <c r="H324" s="206"/>
      <c r="I324" s="206"/>
      <c r="J324" s="206"/>
      <c r="K324" s="206"/>
      <c r="L324" s="206"/>
      <c r="M324" s="206"/>
      <c r="N324" s="206"/>
      <c r="O324" s="206"/>
      <c r="P324" s="206"/>
      <c r="Q324" s="206"/>
      <c r="R324" s="206"/>
      <c r="S324" s="206"/>
      <c r="T324" s="206"/>
      <c r="U324" s="207"/>
    </row>
    <row r="325" spans="2:21" ht="15" customHeight="1" x14ac:dyDescent="0.25">
      <c r="B325" s="198" t="s">
        <v>56</v>
      </c>
      <c r="C325" s="199"/>
      <c r="D325" s="88" t="s">
        <v>26</v>
      </c>
      <c r="E325" s="88" t="s">
        <v>26</v>
      </c>
      <c r="F325" s="88" t="s">
        <v>26</v>
      </c>
      <c r="G325" s="88" t="s">
        <v>26</v>
      </c>
      <c r="H325" s="88" t="s">
        <v>26</v>
      </c>
      <c r="I325" s="92">
        <f>I439+I445+I448</f>
        <v>0</v>
      </c>
      <c r="J325" s="92">
        <f t="shared" ref="J325:R325" si="177">J439+J445+J448</f>
        <v>0</v>
      </c>
      <c r="K325" s="92">
        <f t="shared" si="177"/>
        <v>0</v>
      </c>
      <c r="L325" s="107">
        <f t="shared" si="177"/>
        <v>0</v>
      </c>
      <c r="M325" s="92">
        <f t="shared" si="177"/>
        <v>0</v>
      </c>
      <c r="N325" s="92">
        <f t="shared" si="177"/>
        <v>0</v>
      </c>
      <c r="O325" s="92">
        <f t="shared" si="177"/>
        <v>0</v>
      </c>
      <c r="P325" s="92">
        <f t="shared" si="177"/>
        <v>0</v>
      </c>
      <c r="Q325" s="92"/>
      <c r="R325" s="92">
        <f t="shared" si="177"/>
        <v>0</v>
      </c>
      <c r="S325" s="88" t="s">
        <v>26</v>
      </c>
      <c r="T325" s="88" t="s">
        <v>26</v>
      </c>
      <c r="U325" s="95" t="s">
        <v>26</v>
      </c>
    </row>
    <row r="326" spans="2:21" ht="15" customHeight="1" x14ac:dyDescent="0.25">
      <c r="B326" s="200" t="s">
        <v>398</v>
      </c>
      <c r="C326" s="201"/>
      <c r="D326" s="201"/>
      <c r="E326" s="201"/>
      <c r="F326" s="201"/>
      <c r="G326" s="201"/>
      <c r="H326" s="201"/>
      <c r="I326" s="201"/>
      <c r="J326" s="201"/>
      <c r="K326" s="201"/>
      <c r="L326" s="201"/>
      <c r="M326" s="201"/>
      <c r="N326" s="201"/>
      <c r="O326" s="201"/>
      <c r="P326" s="201"/>
      <c r="Q326" s="201"/>
      <c r="R326" s="201"/>
      <c r="S326" s="201"/>
      <c r="T326" s="201"/>
      <c r="U326" s="202"/>
    </row>
    <row r="327" spans="2:21" ht="15" customHeight="1" x14ac:dyDescent="0.25">
      <c r="B327" s="89">
        <v>1</v>
      </c>
      <c r="C327" s="29" t="s">
        <v>26</v>
      </c>
      <c r="D327" s="55"/>
      <c r="E327" s="55"/>
      <c r="F327" s="55"/>
      <c r="G327" s="55"/>
      <c r="H327" s="55"/>
      <c r="I327" s="1">
        <v>0</v>
      </c>
      <c r="J327" s="1">
        <v>0</v>
      </c>
      <c r="K327" s="1">
        <v>0</v>
      </c>
      <c r="L327" s="106">
        <f t="shared" ref="L327" si="178">L323</f>
        <v>0</v>
      </c>
      <c r="M327" s="1">
        <v>0</v>
      </c>
      <c r="N327" s="1">
        <v>0</v>
      </c>
      <c r="O327" s="1">
        <v>0</v>
      </c>
      <c r="P327" s="1">
        <v>0</v>
      </c>
      <c r="Q327" s="1"/>
      <c r="R327" s="1">
        <v>0</v>
      </c>
      <c r="S327" s="41"/>
      <c r="T327" s="53"/>
      <c r="U327" s="90"/>
    </row>
    <row r="328" spans="2:21" ht="15" customHeight="1" x14ac:dyDescent="0.25">
      <c r="B328" s="203" t="s">
        <v>150</v>
      </c>
      <c r="C328" s="204"/>
      <c r="D328" s="88" t="s">
        <v>26</v>
      </c>
      <c r="E328" s="88" t="s">
        <v>26</v>
      </c>
      <c r="F328" s="88" t="s">
        <v>26</v>
      </c>
      <c r="G328" s="88" t="s">
        <v>26</v>
      </c>
      <c r="H328" s="88" t="s">
        <v>26</v>
      </c>
      <c r="I328" s="92">
        <v>0</v>
      </c>
      <c r="J328" s="92">
        <v>0</v>
      </c>
      <c r="K328" s="92">
        <v>0</v>
      </c>
      <c r="L328" s="107">
        <v>0</v>
      </c>
      <c r="M328" s="92">
        <v>0</v>
      </c>
      <c r="N328" s="92">
        <v>0</v>
      </c>
      <c r="O328" s="92">
        <v>0</v>
      </c>
      <c r="P328" s="92">
        <v>0</v>
      </c>
      <c r="Q328" s="92"/>
      <c r="R328" s="37">
        <f t="shared" ref="R328" si="179">R324</f>
        <v>0</v>
      </c>
      <c r="S328" s="88" t="s">
        <v>26</v>
      </c>
      <c r="T328" s="88" t="s">
        <v>26</v>
      </c>
      <c r="U328" s="95" t="s">
        <v>26</v>
      </c>
    </row>
    <row r="329" spans="2:21" ht="15" customHeight="1" x14ac:dyDescent="0.25">
      <c r="B329" s="200" t="s">
        <v>38</v>
      </c>
      <c r="C329" s="201"/>
      <c r="D329" s="201"/>
      <c r="E329" s="201"/>
      <c r="F329" s="201"/>
      <c r="G329" s="201"/>
      <c r="H329" s="201"/>
      <c r="I329" s="201"/>
      <c r="J329" s="201"/>
      <c r="K329" s="201"/>
      <c r="L329" s="201"/>
      <c r="M329" s="201"/>
      <c r="N329" s="201"/>
      <c r="O329" s="201"/>
      <c r="P329" s="201"/>
      <c r="Q329" s="201"/>
      <c r="R329" s="201"/>
      <c r="S329" s="201"/>
      <c r="T329" s="201"/>
      <c r="U329" s="202"/>
    </row>
    <row r="330" spans="2:21" ht="15" customHeight="1" x14ac:dyDescent="0.25">
      <c r="B330" s="72">
        <v>1</v>
      </c>
      <c r="C330" s="29" t="s">
        <v>26</v>
      </c>
      <c r="D330" s="2"/>
      <c r="E330" s="6"/>
      <c r="F330" s="29"/>
      <c r="G330" s="2"/>
      <c r="H330" s="2"/>
      <c r="I330" s="1">
        <v>0</v>
      </c>
      <c r="J330" s="1">
        <v>0</v>
      </c>
      <c r="K330" s="1">
        <v>0</v>
      </c>
      <c r="L330" s="106">
        <f t="shared" ref="L330" si="180">L326</f>
        <v>0</v>
      </c>
      <c r="M330" s="1">
        <v>0</v>
      </c>
      <c r="N330" s="1">
        <v>0</v>
      </c>
      <c r="O330" s="1">
        <v>0</v>
      </c>
      <c r="P330" s="1">
        <v>0</v>
      </c>
      <c r="Q330" s="1"/>
      <c r="R330" s="1">
        <v>0</v>
      </c>
      <c r="S330" s="1"/>
      <c r="T330" s="73"/>
      <c r="U330" s="33"/>
    </row>
    <row r="331" spans="2:21" ht="18.75" customHeight="1" x14ac:dyDescent="0.25">
      <c r="B331" s="203" t="s">
        <v>150</v>
      </c>
      <c r="C331" s="204"/>
      <c r="D331" s="88" t="s">
        <v>26</v>
      </c>
      <c r="E331" s="88" t="s">
        <v>26</v>
      </c>
      <c r="F331" s="88" t="s">
        <v>26</v>
      </c>
      <c r="G331" s="88" t="s">
        <v>26</v>
      </c>
      <c r="H331" s="88" t="s">
        <v>26</v>
      </c>
      <c r="I331" s="92">
        <v>0</v>
      </c>
      <c r="J331" s="92">
        <v>0</v>
      </c>
      <c r="K331" s="92">
        <v>0</v>
      </c>
      <c r="L331" s="107">
        <v>0</v>
      </c>
      <c r="M331" s="92">
        <v>0</v>
      </c>
      <c r="N331" s="92">
        <v>0</v>
      </c>
      <c r="O331" s="92">
        <v>0</v>
      </c>
      <c r="P331" s="92">
        <v>0</v>
      </c>
      <c r="Q331" s="92"/>
      <c r="R331" s="37">
        <f t="shared" ref="R331" si="181">R330</f>
        <v>0</v>
      </c>
      <c r="S331" s="88" t="s">
        <v>26</v>
      </c>
      <c r="T331" s="88" t="s">
        <v>26</v>
      </c>
      <c r="U331" s="95" t="s">
        <v>26</v>
      </c>
    </row>
    <row r="332" spans="2:21" ht="21" customHeight="1" x14ac:dyDescent="0.25">
      <c r="B332" s="200" t="s">
        <v>151</v>
      </c>
      <c r="C332" s="201"/>
      <c r="D332" s="201"/>
      <c r="E332" s="201"/>
      <c r="F332" s="201"/>
      <c r="G332" s="201"/>
      <c r="H332" s="201"/>
      <c r="I332" s="201"/>
      <c r="J332" s="201"/>
      <c r="K332" s="201"/>
      <c r="L332" s="201"/>
      <c r="M332" s="201"/>
      <c r="N332" s="201"/>
      <c r="O332" s="201"/>
      <c r="P332" s="201"/>
      <c r="Q332" s="201"/>
      <c r="R332" s="201"/>
      <c r="S332" s="201"/>
      <c r="T332" s="201"/>
      <c r="U332" s="202"/>
    </row>
    <row r="333" spans="2:21" ht="15" customHeight="1" x14ac:dyDescent="0.25">
      <c r="B333" s="72">
        <v>1</v>
      </c>
      <c r="C333" s="29" t="s">
        <v>26</v>
      </c>
      <c r="D333" s="29" t="s">
        <v>26</v>
      </c>
      <c r="E333" s="29" t="s">
        <v>26</v>
      </c>
      <c r="F333" s="29" t="s">
        <v>26</v>
      </c>
      <c r="G333" s="29" t="s">
        <v>26</v>
      </c>
      <c r="H333" s="29" t="s">
        <v>26</v>
      </c>
      <c r="I333" s="1">
        <v>0</v>
      </c>
      <c r="J333" s="1">
        <v>0</v>
      </c>
      <c r="K333" s="1">
        <v>0</v>
      </c>
      <c r="L333" s="106">
        <f t="shared" ref="L333" si="182">L329</f>
        <v>0</v>
      </c>
      <c r="M333" s="1">
        <v>0</v>
      </c>
      <c r="N333" s="1">
        <v>0</v>
      </c>
      <c r="O333" s="1">
        <v>0</v>
      </c>
      <c r="P333" s="1">
        <v>0</v>
      </c>
      <c r="Q333" s="1"/>
      <c r="R333" s="1">
        <v>0</v>
      </c>
      <c r="S333" s="29" t="s">
        <v>26</v>
      </c>
      <c r="T333" s="29" t="s">
        <v>26</v>
      </c>
      <c r="U333" s="31" t="s">
        <v>26</v>
      </c>
    </row>
    <row r="334" spans="2:21" ht="15" customHeight="1" thickBot="1" x14ac:dyDescent="0.3">
      <c r="B334" s="196" t="s">
        <v>150</v>
      </c>
      <c r="C334" s="197"/>
      <c r="D334" s="36" t="s">
        <v>26</v>
      </c>
      <c r="E334" s="36" t="s">
        <v>26</v>
      </c>
      <c r="F334" s="36" t="s">
        <v>26</v>
      </c>
      <c r="G334" s="36" t="s">
        <v>26</v>
      </c>
      <c r="H334" s="36" t="s">
        <v>26</v>
      </c>
      <c r="I334" s="94">
        <v>0</v>
      </c>
      <c r="J334" s="94">
        <v>0</v>
      </c>
      <c r="K334" s="94">
        <v>0</v>
      </c>
      <c r="L334" s="107">
        <v>0</v>
      </c>
      <c r="M334" s="94">
        <v>0</v>
      </c>
      <c r="N334" s="94">
        <v>0</v>
      </c>
      <c r="O334" s="94">
        <v>0</v>
      </c>
      <c r="P334" s="94">
        <v>0</v>
      </c>
      <c r="Q334" s="94"/>
      <c r="R334" s="94">
        <v>0</v>
      </c>
      <c r="S334" s="36" t="s">
        <v>26</v>
      </c>
      <c r="T334" s="36" t="s">
        <v>26</v>
      </c>
      <c r="U334" s="101" t="s">
        <v>26</v>
      </c>
    </row>
    <row r="335" spans="2:21" s="131" customFormat="1" ht="15" customHeight="1" x14ac:dyDescent="0.25">
      <c r="B335" s="205" t="s">
        <v>204</v>
      </c>
      <c r="C335" s="206"/>
      <c r="D335" s="206"/>
      <c r="E335" s="206"/>
      <c r="F335" s="206"/>
      <c r="G335" s="206"/>
      <c r="H335" s="206"/>
      <c r="I335" s="206"/>
      <c r="J335" s="206"/>
      <c r="K335" s="206"/>
      <c r="L335" s="206"/>
      <c r="M335" s="206"/>
      <c r="N335" s="206"/>
      <c r="O335" s="206"/>
      <c r="P335" s="206"/>
      <c r="Q335" s="206"/>
      <c r="R335" s="206"/>
      <c r="S335" s="206"/>
      <c r="T335" s="206"/>
      <c r="U335" s="207"/>
    </row>
    <row r="336" spans="2:21" s="131" customFormat="1" ht="15" customHeight="1" x14ac:dyDescent="0.25">
      <c r="B336" s="198" t="s">
        <v>56</v>
      </c>
      <c r="C336" s="199"/>
      <c r="D336" s="88" t="s">
        <v>26</v>
      </c>
      <c r="E336" s="88" t="s">
        <v>26</v>
      </c>
      <c r="F336" s="88" t="s">
        <v>26</v>
      </c>
      <c r="G336" s="88" t="s">
        <v>26</v>
      </c>
      <c r="H336" s="88" t="s">
        <v>26</v>
      </c>
      <c r="I336" s="92">
        <f>I450+I456+I459</f>
        <v>0</v>
      </c>
      <c r="J336" s="92">
        <f t="shared" ref="J336:P336" si="183">J450+J456+J459</f>
        <v>0</v>
      </c>
      <c r="K336" s="92">
        <f t="shared" si="183"/>
        <v>0</v>
      </c>
      <c r="L336" s="107">
        <f t="shared" si="183"/>
        <v>0</v>
      </c>
      <c r="M336" s="92">
        <f t="shared" si="183"/>
        <v>0</v>
      </c>
      <c r="N336" s="92">
        <f t="shared" si="183"/>
        <v>0</v>
      </c>
      <c r="O336" s="92">
        <f t="shared" si="183"/>
        <v>0</v>
      </c>
      <c r="P336" s="92">
        <f t="shared" si="183"/>
        <v>0</v>
      </c>
      <c r="Q336" s="92"/>
      <c r="R336" s="92">
        <f t="shared" ref="R336" si="184">R450+R456+R459</f>
        <v>0</v>
      </c>
      <c r="S336" s="88" t="s">
        <v>26</v>
      </c>
      <c r="T336" s="88" t="s">
        <v>26</v>
      </c>
      <c r="U336" s="95" t="s">
        <v>26</v>
      </c>
    </row>
    <row r="337" spans="2:21" s="131" customFormat="1" ht="15" customHeight="1" x14ac:dyDescent="0.25">
      <c r="B337" s="200" t="s">
        <v>203</v>
      </c>
      <c r="C337" s="201"/>
      <c r="D337" s="201"/>
      <c r="E337" s="201"/>
      <c r="F337" s="201"/>
      <c r="G337" s="201"/>
      <c r="H337" s="201"/>
      <c r="I337" s="201"/>
      <c r="J337" s="201"/>
      <c r="K337" s="201"/>
      <c r="L337" s="201"/>
      <c r="M337" s="201"/>
      <c r="N337" s="201"/>
      <c r="O337" s="201"/>
      <c r="P337" s="201"/>
      <c r="Q337" s="201"/>
      <c r="R337" s="201"/>
      <c r="S337" s="201"/>
      <c r="T337" s="201"/>
      <c r="U337" s="202"/>
    </row>
    <row r="338" spans="2:21" s="131" customFormat="1" ht="15" customHeight="1" x14ac:dyDescent="0.25">
      <c r="B338" s="89">
        <v>1</v>
      </c>
      <c r="C338" s="29" t="s">
        <v>26</v>
      </c>
      <c r="D338" s="55"/>
      <c r="E338" s="55"/>
      <c r="F338" s="55"/>
      <c r="G338" s="55"/>
      <c r="H338" s="55"/>
      <c r="I338" s="1">
        <v>0</v>
      </c>
      <c r="J338" s="1">
        <v>0</v>
      </c>
      <c r="K338" s="1">
        <v>0</v>
      </c>
      <c r="L338" s="106">
        <f t="shared" ref="L338" si="185">L334</f>
        <v>0</v>
      </c>
      <c r="M338" s="1">
        <v>0</v>
      </c>
      <c r="N338" s="1">
        <v>0</v>
      </c>
      <c r="O338" s="1">
        <v>0</v>
      </c>
      <c r="P338" s="1">
        <v>0</v>
      </c>
      <c r="Q338" s="1"/>
      <c r="R338" s="1">
        <v>0</v>
      </c>
      <c r="S338" s="41"/>
      <c r="T338" s="53"/>
      <c r="U338" s="90"/>
    </row>
    <row r="339" spans="2:21" s="131" customFormat="1" ht="15" customHeight="1" x14ac:dyDescent="0.25">
      <c r="B339" s="203" t="s">
        <v>150</v>
      </c>
      <c r="C339" s="204"/>
      <c r="D339" s="88" t="s">
        <v>26</v>
      </c>
      <c r="E339" s="88" t="s">
        <v>26</v>
      </c>
      <c r="F339" s="88" t="s">
        <v>26</v>
      </c>
      <c r="G339" s="88" t="s">
        <v>26</v>
      </c>
      <c r="H339" s="88" t="s">
        <v>26</v>
      </c>
      <c r="I339" s="92">
        <v>0</v>
      </c>
      <c r="J339" s="92">
        <v>0</v>
      </c>
      <c r="K339" s="92">
        <v>0</v>
      </c>
      <c r="L339" s="107">
        <v>0</v>
      </c>
      <c r="M339" s="92">
        <v>0</v>
      </c>
      <c r="N339" s="92">
        <v>0</v>
      </c>
      <c r="O339" s="92">
        <v>0</v>
      </c>
      <c r="P339" s="92">
        <v>0</v>
      </c>
      <c r="Q339" s="92"/>
      <c r="R339" s="37">
        <f t="shared" ref="R339" si="186">R335</f>
        <v>0</v>
      </c>
      <c r="S339" s="88" t="s">
        <v>26</v>
      </c>
      <c r="T339" s="88" t="s">
        <v>26</v>
      </c>
      <c r="U339" s="95" t="s">
        <v>26</v>
      </c>
    </row>
    <row r="340" spans="2:21" s="131" customFormat="1" ht="15" customHeight="1" x14ac:dyDescent="0.25">
      <c r="B340" s="200" t="s">
        <v>38</v>
      </c>
      <c r="C340" s="201"/>
      <c r="D340" s="201"/>
      <c r="E340" s="201"/>
      <c r="F340" s="201"/>
      <c r="G340" s="201"/>
      <c r="H340" s="201"/>
      <c r="I340" s="201"/>
      <c r="J340" s="201"/>
      <c r="K340" s="201"/>
      <c r="L340" s="201"/>
      <c r="M340" s="201"/>
      <c r="N340" s="201"/>
      <c r="O340" s="201"/>
      <c r="P340" s="201"/>
      <c r="Q340" s="201"/>
      <c r="R340" s="201"/>
      <c r="S340" s="201"/>
      <c r="T340" s="201"/>
      <c r="U340" s="202"/>
    </row>
    <row r="341" spans="2:21" s="131" customFormat="1" ht="15" customHeight="1" x14ac:dyDescent="0.25">
      <c r="B341" s="126">
        <v>1</v>
      </c>
      <c r="C341" s="29" t="s">
        <v>26</v>
      </c>
      <c r="D341" s="2"/>
      <c r="E341" s="6"/>
      <c r="F341" s="29"/>
      <c r="G341" s="2"/>
      <c r="H341" s="2"/>
      <c r="I341" s="1">
        <v>0</v>
      </c>
      <c r="J341" s="1">
        <v>0</v>
      </c>
      <c r="K341" s="1">
        <v>0</v>
      </c>
      <c r="L341" s="106">
        <f t="shared" ref="L341" si="187">L337</f>
        <v>0</v>
      </c>
      <c r="M341" s="1">
        <v>0</v>
      </c>
      <c r="N341" s="1">
        <v>0</v>
      </c>
      <c r="O341" s="1">
        <v>0</v>
      </c>
      <c r="P341" s="1">
        <v>0</v>
      </c>
      <c r="Q341" s="1"/>
      <c r="R341" s="1">
        <v>0</v>
      </c>
      <c r="S341" s="1"/>
      <c r="T341" s="127"/>
      <c r="U341" s="33"/>
    </row>
    <row r="342" spans="2:21" s="131" customFormat="1" ht="18.75" customHeight="1" x14ac:dyDescent="0.25">
      <c r="B342" s="203" t="s">
        <v>150</v>
      </c>
      <c r="C342" s="204"/>
      <c r="D342" s="88" t="s">
        <v>26</v>
      </c>
      <c r="E342" s="88" t="s">
        <v>26</v>
      </c>
      <c r="F342" s="88" t="s">
        <v>26</v>
      </c>
      <c r="G342" s="88" t="s">
        <v>26</v>
      </c>
      <c r="H342" s="88" t="s">
        <v>26</v>
      </c>
      <c r="I342" s="92">
        <v>0</v>
      </c>
      <c r="J342" s="92">
        <v>0</v>
      </c>
      <c r="K342" s="92">
        <v>0</v>
      </c>
      <c r="L342" s="107">
        <v>0</v>
      </c>
      <c r="M342" s="92">
        <v>0</v>
      </c>
      <c r="N342" s="92">
        <v>0</v>
      </c>
      <c r="O342" s="92">
        <v>0</v>
      </c>
      <c r="P342" s="92">
        <v>0</v>
      </c>
      <c r="Q342" s="92"/>
      <c r="R342" s="37">
        <f t="shared" ref="R342" si="188">R341</f>
        <v>0</v>
      </c>
      <c r="S342" s="88" t="s">
        <v>26</v>
      </c>
      <c r="T342" s="88" t="s">
        <v>26</v>
      </c>
      <c r="U342" s="95" t="s">
        <v>26</v>
      </c>
    </row>
    <row r="343" spans="2:21" s="131" customFormat="1" ht="21" customHeight="1" x14ac:dyDescent="0.25">
      <c r="B343" s="200" t="s">
        <v>151</v>
      </c>
      <c r="C343" s="201"/>
      <c r="D343" s="201"/>
      <c r="E343" s="201"/>
      <c r="F343" s="201"/>
      <c r="G343" s="201"/>
      <c r="H343" s="201"/>
      <c r="I343" s="201"/>
      <c r="J343" s="201"/>
      <c r="K343" s="201"/>
      <c r="L343" s="201"/>
      <c r="M343" s="201"/>
      <c r="N343" s="201"/>
      <c r="O343" s="201"/>
      <c r="P343" s="201"/>
      <c r="Q343" s="201"/>
      <c r="R343" s="201"/>
      <c r="S343" s="201"/>
      <c r="T343" s="201"/>
      <c r="U343" s="202"/>
    </row>
    <row r="344" spans="2:21" s="131" customFormat="1" ht="15" customHeight="1" x14ac:dyDescent="0.25">
      <c r="B344" s="126">
        <v>1</v>
      </c>
      <c r="C344" s="29" t="s">
        <v>26</v>
      </c>
      <c r="D344" s="29" t="s">
        <v>26</v>
      </c>
      <c r="E344" s="29" t="s">
        <v>26</v>
      </c>
      <c r="F344" s="29" t="s">
        <v>26</v>
      </c>
      <c r="G344" s="29" t="s">
        <v>26</v>
      </c>
      <c r="H344" s="29" t="s">
        <v>26</v>
      </c>
      <c r="I344" s="1">
        <v>0</v>
      </c>
      <c r="J344" s="1">
        <v>0</v>
      </c>
      <c r="K344" s="1">
        <v>0</v>
      </c>
      <c r="L344" s="106">
        <f t="shared" ref="L344" si="189">L340</f>
        <v>0</v>
      </c>
      <c r="M344" s="1">
        <v>0</v>
      </c>
      <c r="N344" s="1">
        <v>0</v>
      </c>
      <c r="O344" s="1">
        <v>0</v>
      </c>
      <c r="P344" s="1">
        <v>0</v>
      </c>
      <c r="Q344" s="1"/>
      <c r="R344" s="1">
        <v>0</v>
      </c>
      <c r="S344" s="29" t="s">
        <v>26</v>
      </c>
      <c r="T344" s="29" t="s">
        <v>26</v>
      </c>
      <c r="U344" s="31" t="s">
        <v>26</v>
      </c>
    </row>
    <row r="345" spans="2:21" s="131" customFormat="1" ht="15" customHeight="1" thickBot="1" x14ac:dyDescent="0.3">
      <c r="B345" s="196" t="s">
        <v>150</v>
      </c>
      <c r="C345" s="197"/>
      <c r="D345" s="36" t="s">
        <v>26</v>
      </c>
      <c r="E345" s="36" t="s">
        <v>26</v>
      </c>
      <c r="F345" s="36" t="s">
        <v>26</v>
      </c>
      <c r="G345" s="36" t="s">
        <v>26</v>
      </c>
      <c r="H345" s="36" t="s">
        <v>26</v>
      </c>
      <c r="I345" s="94">
        <v>0</v>
      </c>
      <c r="J345" s="94">
        <v>0</v>
      </c>
      <c r="K345" s="94">
        <v>0</v>
      </c>
      <c r="L345" s="150">
        <v>0</v>
      </c>
      <c r="M345" s="94">
        <v>0</v>
      </c>
      <c r="N345" s="94">
        <v>0</v>
      </c>
      <c r="O345" s="94">
        <v>0</v>
      </c>
      <c r="P345" s="94">
        <v>0</v>
      </c>
      <c r="Q345" s="94"/>
      <c r="R345" s="94">
        <v>0</v>
      </c>
      <c r="S345" s="36" t="s">
        <v>26</v>
      </c>
      <c r="T345" s="36" t="s">
        <v>26</v>
      </c>
      <c r="U345" s="101" t="s">
        <v>26</v>
      </c>
    </row>
    <row r="346" spans="2:21" s="131" customFormat="1" ht="15" customHeight="1" x14ac:dyDescent="0.25">
      <c r="B346" s="96"/>
      <c r="C346" s="159"/>
      <c r="D346" s="97"/>
      <c r="E346" s="97"/>
      <c r="F346" s="97"/>
      <c r="G346" s="97"/>
      <c r="H346" s="97"/>
      <c r="I346" s="98"/>
      <c r="J346" s="98"/>
      <c r="K346" s="98"/>
      <c r="L346" s="99"/>
      <c r="M346" s="98"/>
      <c r="N346" s="98"/>
      <c r="O346" s="98"/>
      <c r="P346" s="98"/>
      <c r="Q346" s="98"/>
      <c r="R346" s="98"/>
      <c r="S346" s="97"/>
      <c r="T346" s="97"/>
      <c r="U346" s="97"/>
    </row>
    <row r="347" spans="2:21" s="131" customFormat="1" ht="15" customHeight="1" x14ac:dyDescent="0.25">
      <c r="B347" s="96"/>
      <c r="C347" s="96"/>
      <c r="D347" s="97"/>
      <c r="E347" s="97"/>
      <c r="F347" s="97"/>
      <c r="G347" s="97"/>
      <c r="H347" s="97"/>
      <c r="I347" s="98"/>
      <c r="J347" s="98"/>
      <c r="K347" s="98"/>
      <c r="L347" s="99"/>
      <c r="M347" s="98"/>
      <c r="N347" s="98"/>
      <c r="O347" s="98"/>
      <c r="P347" s="98"/>
      <c r="Q347" s="98"/>
      <c r="R347" s="98"/>
      <c r="S347" s="97"/>
      <c r="T347" s="97"/>
      <c r="U347" s="97"/>
    </row>
    <row r="348" spans="2:21" ht="15" customHeight="1" x14ac:dyDescent="0.25">
      <c r="B348" s="96"/>
      <c r="C348" s="8" t="s">
        <v>154</v>
      </c>
      <c r="D348" s="97"/>
      <c r="E348" s="97"/>
      <c r="F348" s="97"/>
      <c r="G348" s="97"/>
      <c r="H348" s="97"/>
      <c r="I348" s="98"/>
      <c r="J348" s="98"/>
      <c r="K348" s="98"/>
      <c r="L348" s="99"/>
      <c r="M348" s="98"/>
      <c r="N348" s="98"/>
      <c r="O348" s="98"/>
      <c r="P348" s="98"/>
      <c r="Q348" s="98"/>
      <c r="R348" s="98"/>
      <c r="S348" s="97"/>
      <c r="T348" s="97"/>
      <c r="U348" s="97"/>
    </row>
    <row r="349" spans="2:21" ht="15" customHeight="1" x14ac:dyDescent="0.25">
      <c r="C349" s="8" t="s">
        <v>49</v>
      </c>
      <c r="D349" s="20"/>
      <c r="E349" s="20"/>
      <c r="F349" s="20"/>
      <c r="G349" s="20"/>
      <c r="H349" s="70"/>
      <c r="I349" s="70"/>
      <c r="J349" s="20" t="s">
        <v>155</v>
      </c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15"/>
    </row>
    <row r="350" spans="2:21" ht="15" customHeight="1" x14ac:dyDescent="0.25">
      <c r="C350" s="8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15"/>
    </row>
    <row r="351" spans="2:21" ht="15" customHeight="1" x14ac:dyDescent="0.25"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15"/>
    </row>
    <row r="352" spans="2:21" ht="15" customHeight="1" x14ac:dyDescent="0.25">
      <c r="C352" s="20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20"/>
      <c r="O352" s="20"/>
      <c r="P352" s="20"/>
      <c r="Q352" s="20"/>
      <c r="R352" s="20"/>
      <c r="S352" s="20"/>
      <c r="T352" s="20"/>
      <c r="U352" s="15"/>
    </row>
    <row r="353" spans="3:21" ht="15" customHeight="1" x14ac:dyDescent="0.25">
      <c r="C353" s="16" t="s">
        <v>27</v>
      </c>
      <c r="D353" s="16"/>
      <c r="E353" s="16"/>
      <c r="F353" s="16"/>
      <c r="G353" s="16"/>
      <c r="H353" s="16"/>
      <c r="I353" s="16"/>
      <c r="J353" s="16"/>
      <c r="K353" s="16"/>
      <c r="L353" s="16"/>
      <c r="M353" s="16" t="s">
        <v>27</v>
      </c>
      <c r="N353" s="20"/>
      <c r="O353" s="20"/>
      <c r="P353" s="20"/>
      <c r="Q353" s="20"/>
      <c r="R353" s="20"/>
      <c r="S353" s="20"/>
      <c r="T353" s="20"/>
      <c r="U353" s="15"/>
    </row>
    <row r="354" spans="3:21" ht="15" customHeight="1" x14ac:dyDescent="0.25">
      <c r="C354" s="16" t="s">
        <v>28</v>
      </c>
      <c r="D354" s="16"/>
      <c r="E354" s="16"/>
      <c r="F354" s="16"/>
      <c r="G354" s="16"/>
      <c r="H354" s="16"/>
      <c r="I354" s="16"/>
      <c r="J354" s="16"/>
      <c r="K354" s="16"/>
      <c r="L354" s="16"/>
      <c r="M354" s="16" t="s">
        <v>39</v>
      </c>
      <c r="N354" s="20"/>
      <c r="O354" s="20"/>
      <c r="P354" s="20"/>
      <c r="Q354" s="20"/>
      <c r="R354" s="20"/>
      <c r="S354" s="20"/>
      <c r="T354" s="20"/>
      <c r="U354" s="15"/>
    </row>
    <row r="355" spans="3:21" ht="15.75" x14ac:dyDescent="0.25">
      <c r="C355" s="16" t="s">
        <v>31</v>
      </c>
      <c r="D355" s="20"/>
      <c r="E355" s="20"/>
      <c r="F355" s="20"/>
      <c r="G355" s="20"/>
      <c r="H355" s="20"/>
      <c r="I355" s="20"/>
      <c r="J355" s="20"/>
      <c r="K355" s="20"/>
      <c r="L355" s="20"/>
      <c r="M355" s="16" t="s">
        <v>40</v>
      </c>
      <c r="N355" s="20"/>
      <c r="O355" s="20"/>
      <c r="P355" s="20"/>
      <c r="Q355" s="20"/>
      <c r="R355" s="20"/>
      <c r="S355" s="20"/>
      <c r="T355" s="20"/>
      <c r="U355" s="15"/>
    </row>
    <row r="356" spans="3:21" ht="15.75" x14ac:dyDescent="0.25"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</row>
  </sheetData>
  <mergeCells count="55">
    <mergeCell ref="N1:U1"/>
    <mergeCell ref="B325:C325"/>
    <mergeCell ref="B334:C334"/>
    <mergeCell ref="B326:U326"/>
    <mergeCell ref="B328:C328"/>
    <mergeCell ref="B329:U329"/>
    <mergeCell ref="B331:C331"/>
    <mergeCell ref="B332:U332"/>
    <mergeCell ref="N4:U4"/>
    <mergeCell ref="B7:U7"/>
    <mergeCell ref="B8:U8"/>
    <mergeCell ref="B9:B12"/>
    <mergeCell ref="C9:C12"/>
    <mergeCell ref="D9:E9"/>
    <mergeCell ref="F9:F12"/>
    <mergeCell ref="G9:G12"/>
    <mergeCell ref="B14:U14"/>
    <mergeCell ref="B15:C15"/>
    <mergeCell ref="M9:R9"/>
    <mergeCell ref="S9:S11"/>
    <mergeCell ref="T9:T11"/>
    <mergeCell ref="K10:K11"/>
    <mergeCell ref="M10:M11"/>
    <mergeCell ref="N10:R10"/>
    <mergeCell ref="U9:U12"/>
    <mergeCell ref="J9:K9"/>
    <mergeCell ref="L9:L11"/>
    <mergeCell ref="H9:H12"/>
    <mergeCell ref="I9:I11"/>
    <mergeCell ref="D10:D12"/>
    <mergeCell ref="E10:E12"/>
    <mergeCell ref="J10:J11"/>
    <mergeCell ref="B335:U335"/>
    <mergeCell ref="B132:C132"/>
    <mergeCell ref="B133:U133"/>
    <mergeCell ref="B140:C140"/>
    <mergeCell ref="B16:U16"/>
    <mergeCell ref="B126:C126"/>
    <mergeCell ref="B127:U127"/>
    <mergeCell ref="B141:U141"/>
    <mergeCell ref="B142:C142"/>
    <mergeCell ref="B317:C317"/>
    <mergeCell ref="B321:U321"/>
    <mergeCell ref="B323:C323"/>
    <mergeCell ref="B324:U324"/>
    <mergeCell ref="B318:U318"/>
    <mergeCell ref="B320:C320"/>
    <mergeCell ref="B143:U143"/>
    <mergeCell ref="B345:C345"/>
    <mergeCell ref="B336:C336"/>
    <mergeCell ref="B337:U337"/>
    <mergeCell ref="B339:C339"/>
    <mergeCell ref="B340:U340"/>
    <mergeCell ref="B342:C342"/>
    <mergeCell ref="B343:U343"/>
  </mergeCells>
  <pageMargins left="0.78740157480314965" right="0.39370078740157483" top="0.78740157480314965" bottom="0.39370078740157483" header="0.31496062992125984" footer="0.31496062992125984"/>
  <pageSetup paperSize="9" scale="45" fitToHeight="5" orientation="landscape" r:id="rId1"/>
  <rowBreaks count="3" manualBreakCount="3">
    <brk id="50" max="20" man="1"/>
    <brk id="140" max="20" man="1"/>
    <brk id="350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1"/>
  <sheetViews>
    <sheetView view="pageBreakPreview" zoomScaleNormal="75" zoomScaleSheetLayoutView="100" workbookViewId="0">
      <selection activeCell="C152" sqref="C152"/>
    </sheetView>
  </sheetViews>
  <sheetFormatPr defaultRowHeight="15" x14ac:dyDescent="0.25"/>
  <cols>
    <col min="1" max="1" width="12" style="131" customWidth="1"/>
    <col min="2" max="2" width="6.42578125" customWidth="1"/>
    <col min="3" max="3" width="38.42578125" customWidth="1"/>
    <col min="4" max="4" width="18.28515625" style="19" customWidth="1"/>
    <col min="5" max="5" width="15.5703125" customWidth="1"/>
    <col min="6" max="6" width="13.85546875" customWidth="1"/>
    <col min="7" max="8" width="14.140625" customWidth="1"/>
    <col min="9" max="9" width="13.7109375" customWidth="1"/>
    <col min="10" max="10" width="14.7109375" customWidth="1"/>
    <col min="11" max="11" width="13.85546875" customWidth="1"/>
    <col min="12" max="12" width="7" customWidth="1"/>
    <col min="13" max="13" width="16" customWidth="1"/>
    <col min="14" max="14" width="12" customWidth="1"/>
    <col min="15" max="15" width="15.5703125" customWidth="1"/>
    <col min="16" max="16" width="9.28515625" customWidth="1"/>
    <col min="17" max="17" width="12.85546875" customWidth="1"/>
    <col min="18" max="18" width="11.140625" customWidth="1"/>
    <col min="19" max="19" width="15.42578125" customWidth="1"/>
    <col min="20" max="21" width="9.28515625" customWidth="1"/>
    <col min="22" max="22" width="12.42578125" hidden="1" customWidth="1"/>
    <col min="23" max="24" width="13.5703125" hidden="1" customWidth="1"/>
  </cols>
  <sheetData>
    <row r="1" spans="2:24" x14ac:dyDescent="0.25">
      <c r="B1" t="s">
        <v>214</v>
      </c>
      <c r="C1" s="44"/>
    </row>
    <row r="2" spans="2:24" ht="20.25" customHeight="1" thickBot="1" x14ac:dyDescent="0.3">
      <c r="B2" s="245" t="s">
        <v>165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45"/>
      <c r="W2" s="45"/>
      <c r="X2" s="45"/>
    </row>
    <row r="3" spans="2:24" s="131" customFormat="1" ht="18.75" customHeight="1" thickBot="1" x14ac:dyDescent="0.3">
      <c r="B3" s="256" t="s">
        <v>50</v>
      </c>
      <c r="C3" s="241" t="s">
        <v>166</v>
      </c>
      <c r="D3" s="261" t="s">
        <v>161</v>
      </c>
      <c r="E3" s="253" t="s">
        <v>218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5"/>
      <c r="V3" s="45"/>
      <c r="W3" s="45"/>
      <c r="X3" s="45"/>
    </row>
    <row r="4" spans="2:24" ht="15" customHeight="1" x14ac:dyDescent="0.25">
      <c r="B4" s="257"/>
      <c r="C4" s="259"/>
      <c r="D4" s="262"/>
      <c r="E4" s="241" t="s">
        <v>51</v>
      </c>
      <c r="F4" s="246"/>
      <c r="G4" s="246"/>
      <c r="H4" s="246"/>
      <c r="I4" s="246"/>
      <c r="J4" s="246"/>
      <c r="K4" s="246"/>
      <c r="L4" s="241" t="s">
        <v>159</v>
      </c>
      <c r="M4" s="247"/>
      <c r="N4" s="241" t="s">
        <v>160</v>
      </c>
      <c r="O4" s="249"/>
      <c r="P4" s="241" t="s">
        <v>162</v>
      </c>
      <c r="Q4" s="249"/>
      <c r="R4" s="241" t="s">
        <v>52</v>
      </c>
      <c r="S4" s="249"/>
      <c r="T4" s="241" t="s">
        <v>53</v>
      </c>
      <c r="U4" s="251"/>
      <c r="V4" s="243" t="s">
        <v>54</v>
      </c>
      <c r="W4" s="241" t="s">
        <v>55</v>
      </c>
      <c r="X4" s="46"/>
    </row>
    <row r="5" spans="2:24" ht="153.75" customHeight="1" x14ac:dyDescent="0.25">
      <c r="B5" s="257"/>
      <c r="C5" s="259"/>
      <c r="D5" s="263"/>
      <c r="E5" s="148" t="s">
        <v>150</v>
      </c>
      <c r="F5" s="48" t="s">
        <v>205</v>
      </c>
      <c r="G5" s="48" t="s">
        <v>206</v>
      </c>
      <c r="H5" s="48" t="s">
        <v>207</v>
      </c>
      <c r="I5" s="48" t="s">
        <v>208</v>
      </c>
      <c r="J5" s="48" t="s">
        <v>209</v>
      </c>
      <c r="K5" s="48" t="s">
        <v>210</v>
      </c>
      <c r="L5" s="248"/>
      <c r="M5" s="248"/>
      <c r="N5" s="250"/>
      <c r="O5" s="250"/>
      <c r="P5" s="250"/>
      <c r="Q5" s="250"/>
      <c r="R5" s="250"/>
      <c r="S5" s="250"/>
      <c r="T5" s="250"/>
      <c r="U5" s="252"/>
      <c r="V5" s="244"/>
      <c r="W5" s="242"/>
      <c r="X5" s="47" t="s">
        <v>57</v>
      </c>
    </row>
    <row r="6" spans="2:24" ht="15.75" thickBot="1" x14ac:dyDescent="0.3">
      <c r="B6" s="258"/>
      <c r="C6" s="260"/>
      <c r="D6" s="155" t="s">
        <v>21</v>
      </c>
      <c r="E6" s="85" t="s">
        <v>21</v>
      </c>
      <c r="F6" s="156" t="s">
        <v>21</v>
      </c>
      <c r="G6" s="156" t="s">
        <v>21</v>
      </c>
      <c r="H6" s="156" t="s">
        <v>21</v>
      </c>
      <c r="I6" s="156" t="s">
        <v>21</v>
      </c>
      <c r="J6" s="156" t="s">
        <v>21</v>
      </c>
      <c r="K6" s="156" t="s">
        <v>21</v>
      </c>
      <c r="L6" s="156" t="s">
        <v>32</v>
      </c>
      <c r="M6" s="156" t="s">
        <v>21</v>
      </c>
      <c r="N6" s="156" t="s">
        <v>33</v>
      </c>
      <c r="O6" s="156" t="s">
        <v>21</v>
      </c>
      <c r="P6" s="156" t="s">
        <v>33</v>
      </c>
      <c r="Q6" s="156" t="s">
        <v>21</v>
      </c>
      <c r="R6" s="156" t="s">
        <v>33</v>
      </c>
      <c r="S6" s="156" t="s">
        <v>21</v>
      </c>
      <c r="T6" s="156" t="s">
        <v>58</v>
      </c>
      <c r="U6" s="157" t="s">
        <v>21</v>
      </c>
      <c r="V6" s="153" t="s">
        <v>21</v>
      </c>
      <c r="W6" s="49" t="s">
        <v>21</v>
      </c>
      <c r="X6" s="49"/>
    </row>
    <row r="7" spans="2:24" ht="15.75" thickBot="1" x14ac:dyDescent="0.3">
      <c r="B7" s="151">
        <v>1</v>
      </c>
      <c r="C7" s="152">
        <v>2</v>
      </c>
      <c r="D7" s="154">
        <v>3</v>
      </c>
      <c r="E7" s="152">
        <v>4</v>
      </c>
      <c r="F7" s="152">
        <v>5</v>
      </c>
      <c r="G7" s="152">
        <v>6</v>
      </c>
      <c r="H7" s="152">
        <v>7</v>
      </c>
      <c r="I7" s="152">
        <v>8</v>
      </c>
      <c r="J7" s="152">
        <v>9</v>
      </c>
      <c r="K7" s="152">
        <v>10</v>
      </c>
      <c r="L7" s="152">
        <v>11</v>
      </c>
      <c r="M7" s="152">
        <v>12</v>
      </c>
      <c r="N7" s="152">
        <v>13</v>
      </c>
      <c r="O7" s="152">
        <v>14</v>
      </c>
      <c r="P7" s="152">
        <v>15</v>
      </c>
      <c r="Q7" s="152">
        <v>16</v>
      </c>
      <c r="R7" s="152">
        <v>17</v>
      </c>
      <c r="S7" s="152">
        <v>18</v>
      </c>
      <c r="T7" s="152">
        <v>19</v>
      </c>
      <c r="U7" s="152">
        <v>20</v>
      </c>
      <c r="V7" s="50">
        <v>21</v>
      </c>
      <c r="W7" s="50">
        <v>22</v>
      </c>
      <c r="X7" s="50">
        <v>23</v>
      </c>
    </row>
    <row r="8" spans="2:24" ht="26.25" customHeight="1" thickBot="1" x14ac:dyDescent="0.3">
      <c r="B8" s="233" t="s">
        <v>148</v>
      </c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5"/>
      <c r="V8" s="50"/>
      <c r="W8" s="50"/>
      <c r="X8" s="50"/>
    </row>
    <row r="9" spans="2:24" ht="29.25" customHeight="1" x14ac:dyDescent="0.25">
      <c r="B9" s="128" t="s">
        <v>211</v>
      </c>
      <c r="C9" s="129"/>
      <c r="D9" s="51">
        <f>E9+M9+O9+Q9+S9</f>
        <v>543990587.12</v>
      </c>
      <c r="E9" s="52">
        <f t="shared" ref="E9:S9" si="0">SUM(E10:E128)</f>
        <v>102617363.76000001</v>
      </c>
      <c r="F9" s="52">
        <f t="shared" si="0"/>
        <v>34158180</v>
      </c>
      <c r="G9" s="52">
        <f t="shared" si="0"/>
        <v>27372142.899999999</v>
      </c>
      <c r="H9" s="52">
        <f t="shared" si="0"/>
        <v>3033760</v>
      </c>
      <c r="I9" s="52">
        <f t="shared" si="0"/>
        <v>6783514.6699999999</v>
      </c>
      <c r="J9" s="52">
        <f t="shared" si="0"/>
        <v>18452679.420000002</v>
      </c>
      <c r="K9" s="52">
        <f t="shared" si="0"/>
        <v>12817086.77</v>
      </c>
      <c r="L9" s="52">
        <f t="shared" si="0"/>
        <v>174</v>
      </c>
      <c r="M9" s="52">
        <f t="shared" si="0"/>
        <v>339063032</v>
      </c>
      <c r="N9" s="52">
        <f t="shared" si="0"/>
        <v>23327.269999999997</v>
      </c>
      <c r="O9" s="52">
        <f t="shared" si="0"/>
        <v>57339315.359999999</v>
      </c>
      <c r="P9" s="52">
        <f t="shared" si="0"/>
        <v>1026.4000000000001</v>
      </c>
      <c r="Q9" s="52">
        <f t="shared" si="0"/>
        <v>1023727</v>
      </c>
      <c r="R9" s="52">
        <f t="shared" si="0"/>
        <v>33639.520000000004</v>
      </c>
      <c r="S9" s="52">
        <f t="shared" si="0"/>
        <v>43947149</v>
      </c>
      <c r="T9" s="52">
        <f t="shared" ref="T9:X9" si="1">SUM(T10:T122)</f>
        <v>0</v>
      </c>
      <c r="U9" s="119">
        <f t="shared" si="1"/>
        <v>0</v>
      </c>
      <c r="V9" s="169" t="e">
        <f t="shared" si="1"/>
        <v>#REF!</v>
      </c>
      <c r="W9" s="52" t="e">
        <f t="shared" si="1"/>
        <v>#REF!</v>
      </c>
      <c r="X9" s="52" t="e">
        <f t="shared" si="1"/>
        <v>#REF!</v>
      </c>
    </row>
    <row r="10" spans="2:24" s="44" customFormat="1" ht="15" customHeight="1" x14ac:dyDescent="0.25">
      <c r="B10" s="130">
        <v>1</v>
      </c>
      <c r="C10" s="77" t="s">
        <v>60</v>
      </c>
      <c r="D10" s="41">
        <f t="shared" ref="D10:D41" si="2">E10+M10+O10+Q10+S10+U10</f>
        <v>1520503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4">
        <v>0</v>
      </c>
      <c r="M10" s="53">
        <v>0</v>
      </c>
      <c r="N10" s="41">
        <v>613.5</v>
      </c>
      <c r="O10" s="53">
        <v>1520503</v>
      </c>
      <c r="P10" s="80">
        <v>0</v>
      </c>
      <c r="Q10" s="53">
        <v>0</v>
      </c>
      <c r="R10" s="75">
        <v>0</v>
      </c>
      <c r="S10" s="53">
        <v>0</v>
      </c>
      <c r="T10" s="54">
        <v>0</v>
      </c>
      <c r="U10" s="167">
        <v>0</v>
      </c>
      <c r="V10" s="170"/>
      <c r="W10" s="56"/>
      <c r="X10" s="56"/>
    </row>
    <row r="11" spans="2:24" s="79" customFormat="1" ht="15" customHeight="1" x14ac:dyDescent="0.25">
      <c r="B11" s="130">
        <v>2</v>
      </c>
      <c r="C11" s="77" t="s">
        <v>61</v>
      </c>
      <c r="D11" s="41">
        <f t="shared" si="2"/>
        <v>1967436</v>
      </c>
      <c r="E11" s="53">
        <f>SUM(F11:K11)</f>
        <v>1967436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1967436</v>
      </c>
      <c r="L11" s="54">
        <v>0</v>
      </c>
      <c r="M11" s="53">
        <v>0</v>
      </c>
      <c r="N11" s="41">
        <v>0</v>
      </c>
      <c r="O11" s="53">
        <v>0</v>
      </c>
      <c r="P11" s="80">
        <v>0</v>
      </c>
      <c r="Q11" s="53">
        <v>0</v>
      </c>
      <c r="R11" s="75">
        <v>0</v>
      </c>
      <c r="S11" s="53">
        <v>0</v>
      </c>
      <c r="T11" s="54">
        <v>0</v>
      </c>
      <c r="U11" s="167">
        <v>0</v>
      </c>
      <c r="V11" s="171"/>
      <c r="W11" s="53"/>
      <c r="X11" s="53"/>
    </row>
    <row r="12" spans="2:24" s="44" customFormat="1" ht="15" customHeight="1" x14ac:dyDescent="0.25">
      <c r="B12" s="130">
        <v>3</v>
      </c>
      <c r="C12" s="77" t="s">
        <v>126</v>
      </c>
      <c r="D12" s="41">
        <f t="shared" si="2"/>
        <v>1115319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  <c r="M12" s="53">
        <v>0</v>
      </c>
      <c r="N12" s="41">
        <v>0</v>
      </c>
      <c r="O12" s="53">
        <v>0</v>
      </c>
      <c r="P12" s="80">
        <v>0</v>
      </c>
      <c r="Q12" s="53">
        <v>0</v>
      </c>
      <c r="R12" s="75">
        <v>741.2</v>
      </c>
      <c r="S12" s="53">
        <v>1115319</v>
      </c>
      <c r="T12" s="54">
        <v>0</v>
      </c>
      <c r="U12" s="167">
        <v>0</v>
      </c>
      <c r="V12" s="171"/>
      <c r="W12" s="53"/>
      <c r="X12" s="53"/>
    </row>
    <row r="13" spans="2:24" s="44" customFormat="1" ht="15" customHeight="1" x14ac:dyDescent="0.25">
      <c r="B13" s="130">
        <v>4</v>
      </c>
      <c r="C13" s="77" t="s">
        <v>109</v>
      </c>
      <c r="D13" s="41">
        <f t="shared" si="2"/>
        <v>3473565</v>
      </c>
      <c r="E13" s="53">
        <f>SUM(F13:K13)</f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1</v>
      </c>
      <c r="M13" s="53">
        <v>1944546</v>
      </c>
      <c r="N13" s="41">
        <v>608</v>
      </c>
      <c r="O13" s="53">
        <v>1529019</v>
      </c>
      <c r="P13" s="80">
        <v>0</v>
      </c>
      <c r="Q13" s="53">
        <v>0</v>
      </c>
      <c r="R13" s="75">
        <v>0</v>
      </c>
      <c r="S13" s="53">
        <v>0</v>
      </c>
      <c r="T13" s="54">
        <v>0</v>
      </c>
      <c r="U13" s="167">
        <v>0</v>
      </c>
      <c r="V13" s="171"/>
      <c r="W13" s="53"/>
      <c r="X13" s="53"/>
    </row>
    <row r="14" spans="2:24" s="44" customFormat="1" ht="15" customHeight="1" x14ac:dyDescent="0.25">
      <c r="B14" s="130">
        <v>5</v>
      </c>
      <c r="C14" s="77" t="s">
        <v>108</v>
      </c>
      <c r="D14" s="41">
        <f t="shared" si="2"/>
        <v>7447486</v>
      </c>
      <c r="E14" s="53">
        <f>SUM(F14:K14)</f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1</v>
      </c>
      <c r="M14" s="53">
        <v>1940926</v>
      </c>
      <c r="N14" s="41">
        <v>566</v>
      </c>
      <c r="O14" s="53">
        <v>1424902</v>
      </c>
      <c r="P14" s="80">
        <v>0</v>
      </c>
      <c r="Q14" s="53">
        <v>0</v>
      </c>
      <c r="R14" s="75">
        <v>2700</v>
      </c>
      <c r="S14" s="53">
        <v>4081658</v>
      </c>
      <c r="T14" s="54">
        <v>0</v>
      </c>
      <c r="U14" s="167">
        <v>0</v>
      </c>
      <c r="V14" s="170"/>
      <c r="W14" s="56"/>
      <c r="X14" s="56"/>
    </row>
    <row r="15" spans="2:24" s="44" customFormat="1" ht="15" customHeight="1" x14ac:dyDescent="0.25">
      <c r="B15" s="130">
        <v>6</v>
      </c>
      <c r="C15" s="77" t="s">
        <v>80</v>
      </c>
      <c r="D15" s="41">
        <f t="shared" si="2"/>
        <v>2776152</v>
      </c>
      <c r="E15" s="53">
        <f>SUM(F15:K15)</f>
        <v>0</v>
      </c>
      <c r="F15" s="41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1</v>
      </c>
      <c r="M15" s="53">
        <v>1937582</v>
      </c>
      <c r="N15" s="41">
        <v>327</v>
      </c>
      <c r="O15" s="53">
        <v>838570</v>
      </c>
      <c r="P15" s="80">
        <v>0</v>
      </c>
      <c r="Q15" s="53">
        <v>0</v>
      </c>
      <c r="R15" s="75">
        <v>0</v>
      </c>
      <c r="S15" s="53">
        <v>0</v>
      </c>
      <c r="T15" s="54">
        <v>0</v>
      </c>
      <c r="U15" s="167">
        <v>0</v>
      </c>
      <c r="V15" s="171"/>
      <c r="W15" s="53"/>
      <c r="X15" s="53"/>
    </row>
    <row r="16" spans="2:24" s="44" customFormat="1" ht="15" customHeight="1" x14ac:dyDescent="0.25">
      <c r="B16" s="130">
        <v>7</v>
      </c>
      <c r="C16" s="77" t="s">
        <v>125</v>
      </c>
      <c r="D16" s="41">
        <f t="shared" si="2"/>
        <v>1055807</v>
      </c>
      <c r="E16" s="53">
        <f>SUM(F16:K16)</f>
        <v>1055807</v>
      </c>
      <c r="F16" s="53">
        <v>1055807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  <c r="M16" s="53">
        <v>0</v>
      </c>
      <c r="N16" s="41">
        <v>0</v>
      </c>
      <c r="O16" s="53">
        <v>0</v>
      </c>
      <c r="P16" s="80">
        <v>0</v>
      </c>
      <c r="Q16" s="53">
        <v>0</v>
      </c>
      <c r="R16" s="75">
        <v>0</v>
      </c>
      <c r="S16" s="53">
        <v>0</v>
      </c>
      <c r="T16" s="54">
        <v>0</v>
      </c>
      <c r="U16" s="167">
        <v>0</v>
      </c>
      <c r="V16" s="171"/>
      <c r="W16" s="53"/>
      <c r="X16" s="53"/>
    </row>
    <row r="17" spans="2:24" s="44" customFormat="1" ht="15" customHeight="1" x14ac:dyDescent="0.25">
      <c r="B17" s="130">
        <v>8</v>
      </c>
      <c r="C17" s="77" t="s">
        <v>134</v>
      </c>
      <c r="D17" s="41">
        <f t="shared" si="2"/>
        <v>2108843</v>
      </c>
      <c r="E17" s="53">
        <f>SUM(F17:K17)</f>
        <v>2108843</v>
      </c>
      <c r="F17" s="53">
        <v>2108843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  <c r="M17" s="53">
        <v>0</v>
      </c>
      <c r="N17" s="53">
        <v>0</v>
      </c>
      <c r="O17" s="53">
        <v>0</v>
      </c>
      <c r="P17" s="80">
        <v>0</v>
      </c>
      <c r="Q17" s="53">
        <v>0</v>
      </c>
      <c r="R17" s="75">
        <v>0</v>
      </c>
      <c r="S17" s="53">
        <v>0</v>
      </c>
      <c r="T17" s="54">
        <v>0</v>
      </c>
      <c r="U17" s="167">
        <v>0</v>
      </c>
      <c r="V17" s="171"/>
      <c r="W17" s="53"/>
      <c r="X17" s="53"/>
    </row>
    <row r="18" spans="2:24" ht="15" customHeight="1" x14ac:dyDescent="0.25">
      <c r="B18" s="130">
        <v>9</v>
      </c>
      <c r="C18" s="77" t="s">
        <v>68</v>
      </c>
      <c r="D18" s="41">
        <f t="shared" si="2"/>
        <v>1558282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  <c r="M18" s="53">
        <v>0</v>
      </c>
      <c r="N18" s="53">
        <v>620</v>
      </c>
      <c r="O18" s="53">
        <v>1558282</v>
      </c>
      <c r="P18" s="80">
        <v>0</v>
      </c>
      <c r="Q18" s="53">
        <v>0</v>
      </c>
      <c r="R18" s="80">
        <v>0</v>
      </c>
      <c r="S18" s="53">
        <v>0</v>
      </c>
      <c r="T18" s="54">
        <v>0</v>
      </c>
      <c r="U18" s="167">
        <v>0</v>
      </c>
      <c r="V18" s="171"/>
      <c r="W18" s="53"/>
      <c r="X18" s="53"/>
    </row>
    <row r="19" spans="2:24" s="44" customFormat="1" ht="15" customHeight="1" x14ac:dyDescent="0.25">
      <c r="B19" s="130">
        <v>10</v>
      </c>
      <c r="C19" s="77" t="s">
        <v>84</v>
      </c>
      <c r="D19" s="41">
        <f t="shared" si="2"/>
        <v>7592128</v>
      </c>
      <c r="E19" s="53">
        <f t="shared" ref="E19:E48" si="3">SUM(F19:K19)</f>
        <v>3700566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3700566</v>
      </c>
      <c r="L19" s="54">
        <v>2</v>
      </c>
      <c r="M19" s="53">
        <v>3891562</v>
      </c>
      <c r="N19" s="53">
        <v>0</v>
      </c>
      <c r="O19" s="53">
        <v>0</v>
      </c>
      <c r="P19" s="80">
        <v>0</v>
      </c>
      <c r="Q19" s="53">
        <v>0</v>
      </c>
      <c r="R19" s="80">
        <v>0</v>
      </c>
      <c r="S19" s="53">
        <v>0</v>
      </c>
      <c r="T19" s="54">
        <v>0</v>
      </c>
      <c r="U19" s="167">
        <v>0</v>
      </c>
      <c r="V19" s="171"/>
      <c r="W19" s="53"/>
      <c r="X19" s="53"/>
    </row>
    <row r="20" spans="2:24" s="44" customFormat="1" ht="15" customHeight="1" x14ac:dyDescent="0.25">
      <c r="B20" s="130">
        <v>11</v>
      </c>
      <c r="C20" s="77" t="s">
        <v>128</v>
      </c>
      <c r="D20" s="41">
        <f t="shared" si="2"/>
        <v>6420018</v>
      </c>
      <c r="E20" s="53">
        <f t="shared" si="3"/>
        <v>6420018</v>
      </c>
      <c r="F20" s="53">
        <v>0</v>
      </c>
      <c r="G20" s="53">
        <v>1940139</v>
      </c>
      <c r="H20" s="53">
        <v>0</v>
      </c>
      <c r="I20" s="53">
        <v>1695676</v>
      </c>
      <c r="J20" s="53">
        <v>1695676</v>
      </c>
      <c r="K20" s="53">
        <v>1088527</v>
      </c>
      <c r="L20" s="54">
        <v>0</v>
      </c>
      <c r="M20" s="53">
        <v>0</v>
      </c>
      <c r="N20" s="53">
        <v>0</v>
      </c>
      <c r="O20" s="53">
        <v>0</v>
      </c>
      <c r="P20" s="80">
        <v>0</v>
      </c>
      <c r="Q20" s="53">
        <v>0</v>
      </c>
      <c r="R20" s="80">
        <v>0</v>
      </c>
      <c r="S20" s="53">
        <v>0</v>
      </c>
      <c r="T20" s="54">
        <v>0</v>
      </c>
      <c r="U20" s="167">
        <v>0</v>
      </c>
      <c r="V20" s="171"/>
      <c r="W20" s="53"/>
      <c r="X20" s="53"/>
    </row>
    <row r="21" spans="2:24" s="44" customFormat="1" ht="15" customHeight="1" x14ac:dyDescent="0.25">
      <c r="B21" s="130">
        <v>12</v>
      </c>
      <c r="C21" s="77" t="s">
        <v>107</v>
      </c>
      <c r="D21" s="41">
        <f t="shared" si="2"/>
        <v>2999405</v>
      </c>
      <c r="E21" s="53">
        <f t="shared" si="3"/>
        <v>2999405</v>
      </c>
      <c r="F21" s="53">
        <v>0</v>
      </c>
      <c r="G21" s="53">
        <v>2999405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  <c r="M21" s="53">
        <v>0</v>
      </c>
      <c r="N21" s="53">
        <v>0</v>
      </c>
      <c r="O21" s="53">
        <v>0</v>
      </c>
      <c r="P21" s="80">
        <v>0</v>
      </c>
      <c r="Q21" s="53">
        <v>0</v>
      </c>
      <c r="R21" s="80">
        <v>0</v>
      </c>
      <c r="S21" s="53">
        <v>0</v>
      </c>
      <c r="T21" s="54">
        <v>0</v>
      </c>
      <c r="U21" s="167">
        <v>0</v>
      </c>
      <c r="V21" s="171"/>
      <c r="W21" s="53"/>
      <c r="X21" s="53"/>
    </row>
    <row r="22" spans="2:24" s="44" customFormat="1" ht="15" customHeight="1" x14ac:dyDescent="0.25">
      <c r="B22" s="130">
        <v>13</v>
      </c>
      <c r="C22" s="77" t="s">
        <v>146</v>
      </c>
      <c r="D22" s="41">
        <f t="shared" si="2"/>
        <v>3061843</v>
      </c>
      <c r="E22" s="53">
        <f t="shared" si="3"/>
        <v>3061843</v>
      </c>
      <c r="F22" s="53">
        <v>0</v>
      </c>
      <c r="G22" s="53">
        <v>0</v>
      </c>
      <c r="H22" s="53">
        <v>0</v>
      </c>
      <c r="I22" s="53">
        <v>0</v>
      </c>
      <c r="J22" s="53">
        <v>3061843</v>
      </c>
      <c r="K22" s="53">
        <v>0</v>
      </c>
      <c r="L22" s="54">
        <v>0</v>
      </c>
      <c r="M22" s="53">
        <v>0</v>
      </c>
      <c r="N22" s="53">
        <v>0</v>
      </c>
      <c r="O22" s="53">
        <v>0</v>
      </c>
      <c r="P22" s="80">
        <v>0</v>
      </c>
      <c r="Q22" s="53">
        <v>0</v>
      </c>
      <c r="R22" s="80">
        <v>0</v>
      </c>
      <c r="S22" s="53">
        <v>0</v>
      </c>
      <c r="T22" s="54">
        <v>0</v>
      </c>
      <c r="U22" s="167">
        <v>0</v>
      </c>
      <c r="V22" s="171"/>
      <c r="W22" s="53"/>
      <c r="X22" s="53"/>
    </row>
    <row r="23" spans="2:24" s="44" customFormat="1" ht="15" customHeight="1" x14ac:dyDescent="0.25">
      <c r="B23" s="130">
        <v>14</v>
      </c>
      <c r="C23" s="77" t="s">
        <v>141</v>
      </c>
      <c r="D23" s="41">
        <f t="shared" si="2"/>
        <v>7761808</v>
      </c>
      <c r="E23" s="53">
        <f t="shared" si="3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  <c r="M23" s="53">
        <v>0</v>
      </c>
      <c r="N23" s="53">
        <v>1301.2</v>
      </c>
      <c r="O23" s="53">
        <v>4099364</v>
      </c>
      <c r="P23" s="80">
        <v>0</v>
      </c>
      <c r="Q23" s="53">
        <v>0</v>
      </c>
      <c r="R23" s="80">
        <v>2443.1999999999998</v>
      </c>
      <c r="S23" s="53">
        <v>3662444</v>
      </c>
      <c r="T23" s="54">
        <v>0</v>
      </c>
      <c r="U23" s="167">
        <v>0</v>
      </c>
      <c r="V23" s="171"/>
      <c r="W23" s="53"/>
      <c r="X23" s="53"/>
    </row>
    <row r="24" spans="2:24" ht="15" customHeight="1" x14ac:dyDescent="0.25">
      <c r="B24" s="130">
        <v>15</v>
      </c>
      <c r="C24" s="77" t="s">
        <v>86</v>
      </c>
      <c r="D24" s="41">
        <f t="shared" si="2"/>
        <v>26280874</v>
      </c>
      <c r="E24" s="53">
        <f t="shared" si="3"/>
        <v>12030741</v>
      </c>
      <c r="F24" s="53">
        <v>2220294</v>
      </c>
      <c r="G24" s="53">
        <v>2965509</v>
      </c>
      <c r="H24" s="53">
        <v>0</v>
      </c>
      <c r="I24" s="53">
        <v>2591378</v>
      </c>
      <c r="J24" s="53">
        <v>2591378</v>
      </c>
      <c r="K24" s="53">
        <v>1662182</v>
      </c>
      <c r="L24" s="54">
        <v>0</v>
      </c>
      <c r="M24" s="53">
        <v>0</v>
      </c>
      <c r="N24" s="53">
        <v>2600</v>
      </c>
      <c r="O24" s="53">
        <v>8137216</v>
      </c>
      <c r="P24" s="80">
        <v>0</v>
      </c>
      <c r="Q24" s="53">
        <v>0</v>
      </c>
      <c r="R24" s="80">
        <v>4090</v>
      </c>
      <c r="S24" s="53">
        <v>6112917</v>
      </c>
      <c r="T24" s="54">
        <v>0</v>
      </c>
      <c r="U24" s="167">
        <v>0</v>
      </c>
      <c r="V24" s="171"/>
      <c r="W24" s="53"/>
      <c r="X24" s="53"/>
    </row>
    <row r="25" spans="2:24" s="44" customFormat="1" ht="15" customHeight="1" x14ac:dyDescent="0.25">
      <c r="B25" s="130">
        <v>16</v>
      </c>
      <c r="C25" s="77" t="s">
        <v>106</v>
      </c>
      <c r="D25" s="41">
        <f t="shared" si="2"/>
        <v>3712475</v>
      </c>
      <c r="E25" s="53">
        <f t="shared" si="3"/>
        <v>2656615</v>
      </c>
      <c r="F25" s="53">
        <v>423283</v>
      </c>
      <c r="G25" s="53">
        <v>566679</v>
      </c>
      <c r="H25" s="53">
        <v>351035</v>
      </c>
      <c r="I25" s="53">
        <v>496713</v>
      </c>
      <c r="J25" s="53">
        <v>496713</v>
      </c>
      <c r="K25" s="53">
        <v>322192</v>
      </c>
      <c r="L25" s="54">
        <v>0</v>
      </c>
      <c r="M25" s="53">
        <v>0</v>
      </c>
      <c r="N25" s="53">
        <v>0</v>
      </c>
      <c r="O25" s="53">
        <v>0</v>
      </c>
      <c r="P25" s="80">
        <v>0</v>
      </c>
      <c r="Q25" s="53">
        <v>0</v>
      </c>
      <c r="R25" s="80">
        <v>700.6</v>
      </c>
      <c r="S25" s="53">
        <v>1055860</v>
      </c>
      <c r="T25" s="54">
        <v>0</v>
      </c>
      <c r="U25" s="167">
        <v>0</v>
      </c>
      <c r="V25" s="170"/>
      <c r="W25" s="56"/>
      <c r="X25" s="56"/>
    </row>
    <row r="26" spans="2:24" s="44" customFormat="1" ht="15" customHeight="1" x14ac:dyDescent="0.25">
      <c r="B26" s="130">
        <v>17</v>
      </c>
      <c r="C26" s="77" t="s">
        <v>62</v>
      </c>
      <c r="D26" s="41">
        <f t="shared" si="2"/>
        <v>10172902</v>
      </c>
      <c r="E26" s="53">
        <f t="shared" si="3"/>
        <v>2682725</v>
      </c>
      <c r="F26" s="53">
        <v>0</v>
      </c>
      <c r="G26" s="53">
        <v>0</v>
      </c>
      <c r="H26" s="53">
        <v>2682725</v>
      </c>
      <c r="I26" s="53">
        <v>0</v>
      </c>
      <c r="J26" s="53">
        <v>0</v>
      </c>
      <c r="K26" s="53">
        <v>0</v>
      </c>
      <c r="L26" s="54">
        <v>0</v>
      </c>
      <c r="M26" s="53">
        <v>0</v>
      </c>
      <c r="N26" s="53">
        <v>0</v>
      </c>
      <c r="O26" s="53">
        <v>0</v>
      </c>
      <c r="P26" s="80">
        <v>0</v>
      </c>
      <c r="Q26" s="53">
        <v>0</v>
      </c>
      <c r="R26" s="80">
        <v>5016.3999999999996</v>
      </c>
      <c r="S26" s="53">
        <v>7490177</v>
      </c>
      <c r="T26" s="54">
        <v>0</v>
      </c>
      <c r="U26" s="167">
        <v>0</v>
      </c>
      <c r="V26" s="170"/>
      <c r="W26" s="56"/>
      <c r="X26" s="56"/>
    </row>
    <row r="27" spans="2:24" s="44" customFormat="1" ht="15" customHeight="1" x14ac:dyDescent="0.25">
      <c r="B27" s="130">
        <v>18</v>
      </c>
      <c r="C27" s="77" t="s">
        <v>117</v>
      </c>
      <c r="D27" s="41">
        <f t="shared" si="2"/>
        <v>1122522</v>
      </c>
      <c r="E27" s="53">
        <f t="shared" si="3"/>
        <v>1122522</v>
      </c>
      <c r="F27" s="53">
        <v>1122522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  <c r="M27" s="53">
        <v>0</v>
      </c>
      <c r="N27" s="53">
        <v>0</v>
      </c>
      <c r="O27" s="53">
        <v>0</v>
      </c>
      <c r="P27" s="80">
        <v>0</v>
      </c>
      <c r="Q27" s="53">
        <v>0</v>
      </c>
      <c r="R27" s="80">
        <v>0</v>
      </c>
      <c r="S27" s="53">
        <v>0</v>
      </c>
      <c r="T27" s="54">
        <v>0</v>
      </c>
      <c r="U27" s="167">
        <v>0</v>
      </c>
      <c r="V27" s="170"/>
      <c r="W27" s="56"/>
      <c r="X27" s="56"/>
    </row>
    <row r="28" spans="2:24" s="44" customFormat="1" ht="15" customHeight="1" x14ac:dyDescent="0.25">
      <c r="B28" s="130">
        <v>19</v>
      </c>
      <c r="C28" s="77" t="s">
        <v>123</v>
      </c>
      <c r="D28" s="41">
        <f t="shared" si="2"/>
        <v>1086522</v>
      </c>
      <c r="E28" s="53">
        <f t="shared" si="3"/>
        <v>636364</v>
      </c>
      <c r="F28" s="41">
        <v>0</v>
      </c>
      <c r="G28" s="53">
        <v>0</v>
      </c>
      <c r="H28" s="53">
        <v>0</v>
      </c>
      <c r="I28" s="53">
        <v>387788</v>
      </c>
      <c r="J28" s="53">
        <v>0</v>
      </c>
      <c r="K28" s="53">
        <v>248576</v>
      </c>
      <c r="L28" s="54">
        <v>0</v>
      </c>
      <c r="M28" s="53">
        <v>0</v>
      </c>
      <c r="N28" s="53">
        <v>0</v>
      </c>
      <c r="O28" s="53">
        <v>0</v>
      </c>
      <c r="P28" s="80">
        <v>0</v>
      </c>
      <c r="Q28" s="53">
        <v>0</v>
      </c>
      <c r="R28" s="80">
        <v>292.89999999999998</v>
      </c>
      <c r="S28" s="53">
        <v>450158</v>
      </c>
      <c r="T28" s="54">
        <v>0</v>
      </c>
      <c r="U28" s="167">
        <v>0</v>
      </c>
      <c r="V28" s="171"/>
      <c r="W28" s="53"/>
      <c r="X28" s="53"/>
    </row>
    <row r="29" spans="2:24" s="44" customFormat="1" ht="15" customHeight="1" x14ac:dyDescent="0.25">
      <c r="B29" s="130">
        <v>20</v>
      </c>
      <c r="C29" s="77" t="s">
        <v>133</v>
      </c>
      <c r="D29" s="41">
        <f t="shared" si="2"/>
        <v>2565281</v>
      </c>
      <c r="E29" s="53">
        <f t="shared" si="3"/>
        <v>2565281</v>
      </c>
      <c r="F29" s="53">
        <v>2565281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  <c r="M29" s="53">
        <v>0</v>
      </c>
      <c r="N29" s="53">
        <v>0</v>
      </c>
      <c r="O29" s="53">
        <v>0</v>
      </c>
      <c r="P29" s="80">
        <v>0</v>
      </c>
      <c r="Q29" s="53">
        <v>0</v>
      </c>
      <c r="R29" s="80">
        <v>0</v>
      </c>
      <c r="S29" s="53">
        <v>0</v>
      </c>
      <c r="T29" s="54">
        <v>0</v>
      </c>
      <c r="U29" s="167">
        <v>0</v>
      </c>
      <c r="V29" s="171"/>
      <c r="W29" s="53"/>
      <c r="X29" s="53"/>
    </row>
    <row r="30" spans="2:24" s="44" customFormat="1" ht="15" customHeight="1" x14ac:dyDescent="0.25">
      <c r="B30" s="130">
        <v>21</v>
      </c>
      <c r="C30" s="77" t="s">
        <v>114</v>
      </c>
      <c r="D30" s="41">
        <f t="shared" si="2"/>
        <v>5807404</v>
      </c>
      <c r="E30" s="53">
        <f t="shared" si="3"/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3</v>
      </c>
      <c r="M30" s="53">
        <v>5807404</v>
      </c>
      <c r="N30" s="53">
        <v>0</v>
      </c>
      <c r="O30" s="53">
        <v>0</v>
      </c>
      <c r="P30" s="80">
        <v>0</v>
      </c>
      <c r="Q30" s="53">
        <v>0</v>
      </c>
      <c r="R30" s="75">
        <v>0</v>
      </c>
      <c r="S30" s="53">
        <v>0</v>
      </c>
      <c r="T30" s="54">
        <v>0</v>
      </c>
      <c r="U30" s="167">
        <v>0</v>
      </c>
      <c r="V30" s="170"/>
      <c r="W30" s="56"/>
      <c r="X30" s="56"/>
    </row>
    <row r="31" spans="2:24" s="44" customFormat="1" ht="15" customHeight="1" x14ac:dyDescent="0.25">
      <c r="B31" s="130">
        <v>22</v>
      </c>
      <c r="C31" s="77" t="s">
        <v>144</v>
      </c>
      <c r="D31" s="41">
        <f t="shared" si="2"/>
        <v>966044</v>
      </c>
      <c r="E31" s="53">
        <f t="shared" si="3"/>
        <v>264057</v>
      </c>
      <c r="F31" s="53">
        <v>264057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  <c r="M31" s="53">
        <v>0</v>
      </c>
      <c r="N31" s="53">
        <v>0</v>
      </c>
      <c r="O31" s="53">
        <v>0</v>
      </c>
      <c r="P31" s="80">
        <v>0</v>
      </c>
      <c r="Q31" s="53">
        <v>0</v>
      </c>
      <c r="R31" s="75">
        <v>462.8</v>
      </c>
      <c r="S31" s="53">
        <v>701987</v>
      </c>
      <c r="T31" s="54">
        <v>0</v>
      </c>
      <c r="U31" s="167">
        <v>0</v>
      </c>
      <c r="V31" s="171"/>
      <c r="W31" s="53"/>
      <c r="X31" s="53"/>
    </row>
    <row r="32" spans="2:24" s="44" customFormat="1" ht="15" customHeight="1" x14ac:dyDescent="0.25">
      <c r="B32" s="130">
        <v>23</v>
      </c>
      <c r="C32" s="77" t="s">
        <v>102</v>
      </c>
      <c r="D32" s="41">
        <f t="shared" si="2"/>
        <v>3278155</v>
      </c>
      <c r="E32" s="53">
        <f t="shared" si="3"/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1</v>
      </c>
      <c r="M32" s="53">
        <v>1941269</v>
      </c>
      <c r="N32" s="53">
        <v>530</v>
      </c>
      <c r="O32" s="53">
        <v>1336886</v>
      </c>
      <c r="P32" s="80">
        <v>0</v>
      </c>
      <c r="Q32" s="53">
        <v>0</v>
      </c>
      <c r="R32" s="75">
        <v>0</v>
      </c>
      <c r="S32" s="53">
        <v>0</v>
      </c>
      <c r="T32" s="54">
        <v>0</v>
      </c>
      <c r="U32" s="167">
        <v>0</v>
      </c>
      <c r="V32" s="171"/>
      <c r="W32" s="53"/>
      <c r="X32" s="53"/>
    </row>
    <row r="33" spans="1:24" s="79" customFormat="1" ht="15" customHeight="1" x14ac:dyDescent="0.25">
      <c r="B33" s="130">
        <v>24</v>
      </c>
      <c r="C33" s="77" t="s">
        <v>103</v>
      </c>
      <c r="D33" s="41">
        <f t="shared" si="2"/>
        <v>3278842</v>
      </c>
      <c r="E33" s="53">
        <f t="shared" si="3"/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1</v>
      </c>
      <c r="M33" s="53">
        <v>1941776</v>
      </c>
      <c r="N33" s="53">
        <v>530</v>
      </c>
      <c r="O33" s="53">
        <v>1337066</v>
      </c>
      <c r="P33" s="80">
        <v>0</v>
      </c>
      <c r="Q33" s="53">
        <v>0</v>
      </c>
      <c r="R33" s="80">
        <v>0</v>
      </c>
      <c r="S33" s="41">
        <v>0</v>
      </c>
      <c r="T33" s="54">
        <v>0</v>
      </c>
      <c r="U33" s="167">
        <v>0</v>
      </c>
      <c r="V33" s="171"/>
      <c r="W33" s="53"/>
      <c r="X33" s="53"/>
    </row>
    <row r="34" spans="1:24" s="44" customFormat="1" ht="15" customHeight="1" x14ac:dyDescent="0.25">
      <c r="B34" s="130">
        <v>25</v>
      </c>
      <c r="C34" s="77" t="s">
        <v>100</v>
      </c>
      <c r="D34" s="41">
        <f t="shared" si="2"/>
        <v>17768682</v>
      </c>
      <c r="E34" s="53">
        <f t="shared" si="3"/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9</v>
      </c>
      <c r="M34" s="53">
        <v>17768682</v>
      </c>
      <c r="N34" s="53">
        <v>0</v>
      </c>
      <c r="O34" s="53">
        <v>0</v>
      </c>
      <c r="P34" s="80">
        <v>0</v>
      </c>
      <c r="Q34" s="53">
        <v>0</v>
      </c>
      <c r="R34" s="80">
        <v>0</v>
      </c>
      <c r="S34" s="53">
        <v>0</v>
      </c>
      <c r="T34" s="54">
        <v>0</v>
      </c>
      <c r="U34" s="167">
        <v>0</v>
      </c>
      <c r="V34" s="171"/>
      <c r="W34" s="53"/>
      <c r="X34" s="53"/>
    </row>
    <row r="35" spans="1:24" ht="15" customHeight="1" x14ac:dyDescent="0.25">
      <c r="B35" s="130">
        <v>26</v>
      </c>
      <c r="C35" s="77" t="s">
        <v>87</v>
      </c>
      <c r="D35" s="41">
        <f t="shared" si="2"/>
        <v>3871897</v>
      </c>
      <c r="E35" s="53">
        <f t="shared" si="3"/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2</v>
      </c>
      <c r="M35" s="53">
        <v>3871897</v>
      </c>
      <c r="N35" s="53">
        <v>0</v>
      </c>
      <c r="O35" s="53">
        <v>0</v>
      </c>
      <c r="P35" s="80">
        <v>0</v>
      </c>
      <c r="Q35" s="53">
        <v>0</v>
      </c>
      <c r="R35" s="80">
        <v>0</v>
      </c>
      <c r="S35" s="53">
        <v>0</v>
      </c>
      <c r="T35" s="54">
        <v>0</v>
      </c>
      <c r="U35" s="167">
        <v>0</v>
      </c>
      <c r="V35" s="171"/>
      <c r="W35" s="53"/>
      <c r="X35" s="53"/>
    </row>
    <row r="36" spans="1:24" s="44" customFormat="1" ht="15" customHeight="1" x14ac:dyDescent="0.25">
      <c r="B36" s="130">
        <v>27</v>
      </c>
      <c r="C36" s="77" t="s">
        <v>122</v>
      </c>
      <c r="D36" s="41">
        <f t="shared" si="2"/>
        <v>3878124</v>
      </c>
      <c r="E36" s="53">
        <f t="shared" si="3"/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2</v>
      </c>
      <c r="M36" s="53">
        <v>3878124</v>
      </c>
      <c r="N36" s="53">
        <v>0</v>
      </c>
      <c r="O36" s="53">
        <v>0</v>
      </c>
      <c r="P36" s="80">
        <v>0</v>
      </c>
      <c r="Q36" s="53">
        <v>0</v>
      </c>
      <c r="R36" s="80">
        <v>0</v>
      </c>
      <c r="S36" s="53">
        <v>0</v>
      </c>
      <c r="T36" s="54">
        <v>0</v>
      </c>
      <c r="U36" s="167">
        <v>0</v>
      </c>
      <c r="V36" s="171"/>
      <c r="W36" s="53"/>
      <c r="X36" s="53"/>
    </row>
    <row r="37" spans="1:24" ht="15" customHeight="1" x14ac:dyDescent="0.25">
      <c r="B37" s="130">
        <v>28</v>
      </c>
      <c r="C37" s="77" t="s">
        <v>95</v>
      </c>
      <c r="D37" s="41">
        <f t="shared" si="2"/>
        <v>3301568</v>
      </c>
      <c r="E37" s="53">
        <f t="shared" si="3"/>
        <v>3301568</v>
      </c>
      <c r="F37" s="53">
        <v>3301568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  <c r="M37" s="53">
        <v>0</v>
      </c>
      <c r="N37" s="53">
        <v>0</v>
      </c>
      <c r="O37" s="53">
        <v>0</v>
      </c>
      <c r="P37" s="80">
        <v>0</v>
      </c>
      <c r="Q37" s="53">
        <v>0</v>
      </c>
      <c r="R37" s="80">
        <v>0</v>
      </c>
      <c r="S37" s="53">
        <v>0</v>
      </c>
      <c r="T37" s="54">
        <v>0</v>
      </c>
      <c r="U37" s="167">
        <v>0</v>
      </c>
      <c r="V37" s="109"/>
      <c r="W37" s="74"/>
      <c r="X37" s="74"/>
    </row>
    <row r="38" spans="1:24" s="44" customFormat="1" ht="15" customHeight="1" x14ac:dyDescent="0.25">
      <c r="B38" s="130">
        <v>29</v>
      </c>
      <c r="C38" s="77" t="s">
        <v>130</v>
      </c>
      <c r="D38" s="41">
        <f t="shared" si="2"/>
        <v>9227754</v>
      </c>
      <c r="E38" s="53">
        <f t="shared" si="3"/>
        <v>9227754</v>
      </c>
      <c r="F38" s="53">
        <v>9227754</v>
      </c>
      <c r="G38" s="53">
        <v>0</v>
      </c>
      <c r="H38" s="53">
        <v>0</v>
      </c>
      <c r="I38" s="41">
        <v>0</v>
      </c>
      <c r="J38" s="53">
        <v>0</v>
      </c>
      <c r="K38" s="53">
        <v>0</v>
      </c>
      <c r="L38" s="54">
        <v>0</v>
      </c>
      <c r="M38" s="53">
        <v>0</v>
      </c>
      <c r="N38" s="53">
        <v>0</v>
      </c>
      <c r="O38" s="53">
        <v>0</v>
      </c>
      <c r="P38" s="80">
        <v>0</v>
      </c>
      <c r="Q38" s="53">
        <v>0</v>
      </c>
      <c r="R38" s="80">
        <v>0</v>
      </c>
      <c r="S38" s="53">
        <v>0</v>
      </c>
      <c r="T38" s="54">
        <v>0</v>
      </c>
      <c r="U38" s="167">
        <v>0</v>
      </c>
      <c r="V38" s="171"/>
      <c r="W38" s="53"/>
      <c r="X38" s="53"/>
    </row>
    <row r="39" spans="1:24" s="44" customFormat="1" ht="15" customHeight="1" x14ac:dyDescent="0.25">
      <c r="B39" s="130">
        <v>30</v>
      </c>
      <c r="C39" s="77" t="s">
        <v>74</v>
      </c>
      <c r="D39" s="41">
        <f t="shared" si="2"/>
        <v>697211</v>
      </c>
      <c r="E39" s="53">
        <f t="shared" si="3"/>
        <v>697211</v>
      </c>
      <c r="F39" s="53">
        <v>320279</v>
      </c>
      <c r="G39" s="53">
        <v>0</v>
      </c>
      <c r="H39" s="53">
        <v>0</v>
      </c>
      <c r="I39" s="53">
        <v>376932</v>
      </c>
      <c r="J39" s="53">
        <v>0</v>
      </c>
      <c r="K39" s="53">
        <v>0</v>
      </c>
      <c r="L39" s="54">
        <v>0</v>
      </c>
      <c r="M39" s="53">
        <v>0</v>
      </c>
      <c r="N39" s="53">
        <v>0</v>
      </c>
      <c r="O39" s="53">
        <v>0</v>
      </c>
      <c r="P39" s="80">
        <v>0</v>
      </c>
      <c r="Q39" s="53">
        <v>0</v>
      </c>
      <c r="R39" s="80">
        <v>0</v>
      </c>
      <c r="S39" s="53">
        <v>0</v>
      </c>
      <c r="T39" s="54">
        <v>0</v>
      </c>
      <c r="U39" s="167">
        <v>0</v>
      </c>
      <c r="V39" s="170"/>
      <c r="W39" s="56"/>
      <c r="X39" s="56"/>
    </row>
    <row r="40" spans="1:24" s="44" customFormat="1" ht="15" customHeight="1" x14ac:dyDescent="0.25">
      <c r="B40" s="130">
        <v>31</v>
      </c>
      <c r="C40" s="77" t="s">
        <v>78</v>
      </c>
      <c r="D40" s="41">
        <f t="shared" si="2"/>
        <v>828397</v>
      </c>
      <c r="E40" s="53">
        <f t="shared" si="3"/>
        <v>828397</v>
      </c>
      <c r="F40" s="53">
        <v>380933</v>
      </c>
      <c r="G40" s="53">
        <v>0</v>
      </c>
      <c r="H40" s="53">
        <v>0</v>
      </c>
      <c r="I40" s="53">
        <v>447464</v>
      </c>
      <c r="J40" s="53">
        <v>0</v>
      </c>
      <c r="K40" s="53">
        <v>0</v>
      </c>
      <c r="L40" s="54">
        <v>0</v>
      </c>
      <c r="M40" s="53">
        <v>0</v>
      </c>
      <c r="N40" s="53">
        <v>0</v>
      </c>
      <c r="O40" s="53">
        <v>0</v>
      </c>
      <c r="P40" s="80">
        <v>0</v>
      </c>
      <c r="Q40" s="53">
        <v>0</v>
      </c>
      <c r="R40" s="80">
        <v>0</v>
      </c>
      <c r="S40" s="53">
        <v>0</v>
      </c>
      <c r="T40" s="54">
        <v>0</v>
      </c>
      <c r="U40" s="167">
        <v>0</v>
      </c>
      <c r="V40" s="170"/>
      <c r="W40" s="56"/>
      <c r="X40" s="56"/>
    </row>
    <row r="41" spans="1:24" s="44" customFormat="1" ht="15" customHeight="1" x14ac:dyDescent="0.25">
      <c r="B41" s="130">
        <v>32</v>
      </c>
      <c r="C41" s="77" t="s">
        <v>116</v>
      </c>
      <c r="D41" s="41">
        <f t="shared" si="2"/>
        <v>2689803</v>
      </c>
      <c r="E41" s="53">
        <f t="shared" si="3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  <c r="M41" s="53">
        <v>0</v>
      </c>
      <c r="N41" s="53">
        <v>1087.2</v>
      </c>
      <c r="O41" s="53">
        <v>2689803</v>
      </c>
      <c r="P41" s="80">
        <v>0</v>
      </c>
      <c r="Q41" s="53">
        <v>0</v>
      </c>
      <c r="R41" s="80">
        <v>0</v>
      </c>
      <c r="S41" s="53">
        <v>0</v>
      </c>
      <c r="T41" s="54">
        <v>0</v>
      </c>
      <c r="U41" s="167">
        <v>0</v>
      </c>
      <c r="V41" s="171"/>
      <c r="W41" s="53"/>
      <c r="X41" s="53"/>
    </row>
    <row r="42" spans="1:24" s="78" customFormat="1" ht="15" customHeight="1" x14ac:dyDescent="0.25">
      <c r="A42" s="58"/>
      <c r="B42" s="130">
        <v>33</v>
      </c>
      <c r="C42" s="77" t="s">
        <v>44</v>
      </c>
      <c r="D42" s="41">
        <f t="shared" ref="D42:D72" si="4">E42+M42+O42+Q42+S42+U42</f>
        <v>1390518</v>
      </c>
      <c r="E42" s="53">
        <f t="shared" si="3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4">
        <v>0</v>
      </c>
      <c r="M42" s="53">
        <v>0</v>
      </c>
      <c r="N42" s="53">
        <v>0</v>
      </c>
      <c r="O42" s="53">
        <v>0</v>
      </c>
      <c r="P42" s="80">
        <v>0</v>
      </c>
      <c r="Q42" s="53">
        <v>0</v>
      </c>
      <c r="R42" s="80">
        <v>926</v>
      </c>
      <c r="S42" s="53">
        <v>1390518</v>
      </c>
      <c r="T42" s="54">
        <v>0</v>
      </c>
      <c r="U42" s="167">
        <v>0</v>
      </c>
      <c r="V42" s="170"/>
      <c r="W42" s="56"/>
      <c r="X42" s="56"/>
    </row>
    <row r="43" spans="1:24" s="44" customFormat="1" ht="15" customHeight="1" x14ac:dyDescent="0.25">
      <c r="B43" s="130">
        <v>34</v>
      </c>
      <c r="C43" s="77" t="s">
        <v>97</v>
      </c>
      <c r="D43" s="41">
        <f t="shared" si="4"/>
        <v>15700386</v>
      </c>
      <c r="E43" s="53">
        <f t="shared" si="3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8</v>
      </c>
      <c r="M43" s="53">
        <v>15700386</v>
      </c>
      <c r="N43" s="53">
        <v>0</v>
      </c>
      <c r="O43" s="53">
        <v>0</v>
      </c>
      <c r="P43" s="80">
        <v>0</v>
      </c>
      <c r="Q43" s="53">
        <v>0</v>
      </c>
      <c r="R43" s="80">
        <v>0</v>
      </c>
      <c r="S43" s="53">
        <v>0</v>
      </c>
      <c r="T43" s="54">
        <v>0</v>
      </c>
      <c r="U43" s="167">
        <v>0</v>
      </c>
      <c r="V43" s="171"/>
      <c r="W43" s="53"/>
      <c r="X43" s="53"/>
    </row>
    <row r="44" spans="1:24" s="79" customFormat="1" ht="15" customHeight="1" x14ac:dyDescent="0.25">
      <c r="B44" s="130">
        <v>35</v>
      </c>
      <c r="C44" s="77" t="s">
        <v>124</v>
      </c>
      <c r="D44" s="41">
        <f t="shared" si="4"/>
        <v>3865973</v>
      </c>
      <c r="E44" s="53">
        <f t="shared" si="3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2</v>
      </c>
      <c r="M44" s="53">
        <v>3865973</v>
      </c>
      <c r="N44" s="53">
        <v>0</v>
      </c>
      <c r="O44" s="53">
        <v>0</v>
      </c>
      <c r="P44" s="80">
        <v>0</v>
      </c>
      <c r="Q44" s="53">
        <v>0</v>
      </c>
      <c r="R44" s="75">
        <v>0</v>
      </c>
      <c r="S44" s="53">
        <v>0</v>
      </c>
      <c r="T44" s="54">
        <v>0</v>
      </c>
      <c r="U44" s="167">
        <v>0</v>
      </c>
      <c r="V44" s="170"/>
      <c r="W44" s="56"/>
      <c r="X44" s="56"/>
    </row>
    <row r="45" spans="1:24" ht="15" customHeight="1" x14ac:dyDescent="0.25">
      <c r="B45" s="130">
        <v>36</v>
      </c>
      <c r="C45" s="77" t="s">
        <v>88</v>
      </c>
      <c r="D45" s="41">
        <f t="shared" si="4"/>
        <v>5806712</v>
      </c>
      <c r="E45" s="53">
        <f t="shared" si="3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3</v>
      </c>
      <c r="M45" s="53">
        <v>5806712</v>
      </c>
      <c r="N45" s="53">
        <v>0</v>
      </c>
      <c r="O45" s="53">
        <v>0</v>
      </c>
      <c r="P45" s="80">
        <v>0</v>
      </c>
      <c r="Q45" s="53">
        <v>0</v>
      </c>
      <c r="R45" s="75">
        <v>0</v>
      </c>
      <c r="S45" s="53">
        <v>0</v>
      </c>
      <c r="T45" s="54">
        <v>0</v>
      </c>
      <c r="U45" s="167">
        <v>0</v>
      </c>
      <c r="V45" s="171" t="e">
        <f>#REF!*0.08</f>
        <v>#REF!</v>
      </c>
      <c r="W45" s="53" t="e">
        <f>#REF!*0.0214</f>
        <v>#REF!</v>
      </c>
      <c r="X45" s="53" t="e">
        <f>#REF!+V45+W45</f>
        <v>#REF!</v>
      </c>
    </row>
    <row r="46" spans="1:24" s="44" customFormat="1" ht="15" customHeight="1" x14ac:dyDescent="0.25">
      <c r="B46" s="130">
        <v>37</v>
      </c>
      <c r="C46" s="77" t="s">
        <v>132</v>
      </c>
      <c r="D46" s="41">
        <f t="shared" si="4"/>
        <v>2232590</v>
      </c>
      <c r="E46" s="53">
        <f t="shared" si="3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  <c r="M46" s="53">
        <v>0</v>
      </c>
      <c r="N46" s="53">
        <v>0</v>
      </c>
      <c r="O46" s="53">
        <v>0</v>
      </c>
      <c r="P46" s="80">
        <v>0</v>
      </c>
      <c r="Q46" s="53">
        <v>0</v>
      </c>
      <c r="R46" s="75">
        <v>1455.4</v>
      </c>
      <c r="S46" s="53">
        <v>2232590</v>
      </c>
      <c r="T46" s="54">
        <v>0</v>
      </c>
      <c r="U46" s="167">
        <v>0</v>
      </c>
      <c r="V46" s="170"/>
      <c r="W46" s="56"/>
      <c r="X46" s="56"/>
    </row>
    <row r="47" spans="1:24" ht="15" customHeight="1" x14ac:dyDescent="0.25">
      <c r="B47" s="130">
        <v>38</v>
      </c>
      <c r="C47" s="77" t="s">
        <v>105</v>
      </c>
      <c r="D47" s="41">
        <f t="shared" si="4"/>
        <v>2836922</v>
      </c>
      <c r="E47" s="53">
        <f t="shared" si="3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  <c r="M47" s="53">
        <v>0</v>
      </c>
      <c r="N47" s="53">
        <v>1140</v>
      </c>
      <c r="O47" s="53">
        <v>2836922</v>
      </c>
      <c r="P47" s="80">
        <v>0</v>
      </c>
      <c r="Q47" s="53">
        <v>0</v>
      </c>
      <c r="R47" s="75">
        <v>0</v>
      </c>
      <c r="S47" s="53">
        <v>0</v>
      </c>
      <c r="T47" s="54">
        <v>0</v>
      </c>
      <c r="U47" s="167">
        <v>0</v>
      </c>
      <c r="V47" s="171"/>
      <c r="W47" s="53"/>
      <c r="X47" s="53"/>
    </row>
    <row r="48" spans="1:24" s="44" customFormat="1" ht="15" customHeight="1" x14ac:dyDescent="0.25">
      <c r="B48" s="130">
        <v>39</v>
      </c>
      <c r="C48" s="77" t="s">
        <v>127</v>
      </c>
      <c r="D48" s="41">
        <f t="shared" si="4"/>
        <v>2030495</v>
      </c>
      <c r="E48" s="53">
        <f t="shared" si="3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  <c r="M48" s="53">
        <v>0</v>
      </c>
      <c r="N48" s="53">
        <v>819</v>
      </c>
      <c r="O48" s="53">
        <v>2030495</v>
      </c>
      <c r="P48" s="80">
        <v>0</v>
      </c>
      <c r="Q48" s="53">
        <v>0</v>
      </c>
      <c r="R48" s="75">
        <v>0</v>
      </c>
      <c r="S48" s="53">
        <v>0</v>
      </c>
      <c r="T48" s="54">
        <v>0</v>
      </c>
      <c r="U48" s="167">
        <v>0</v>
      </c>
      <c r="V48" s="171"/>
      <c r="W48" s="53"/>
      <c r="X48" s="53"/>
    </row>
    <row r="49" spans="2:24" s="44" customFormat="1" ht="15" customHeight="1" x14ac:dyDescent="0.25">
      <c r="B49" s="130">
        <v>40</v>
      </c>
      <c r="C49" s="77" t="s">
        <v>71</v>
      </c>
      <c r="D49" s="41">
        <f t="shared" si="4"/>
        <v>1761507</v>
      </c>
      <c r="E49" s="53">
        <v>0</v>
      </c>
      <c r="F49" s="41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  <c r="M49" s="53">
        <v>0</v>
      </c>
      <c r="N49" s="53">
        <v>703</v>
      </c>
      <c r="O49" s="53">
        <v>1761507</v>
      </c>
      <c r="P49" s="80">
        <v>0</v>
      </c>
      <c r="Q49" s="53">
        <v>0</v>
      </c>
      <c r="R49" s="75">
        <v>0</v>
      </c>
      <c r="S49" s="53">
        <v>0</v>
      </c>
      <c r="T49" s="54">
        <v>0</v>
      </c>
      <c r="U49" s="167">
        <v>0</v>
      </c>
      <c r="V49" s="171"/>
      <c r="W49" s="53"/>
      <c r="X49" s="53"/>
    </row>
    <row r="50" spans="2:24" ht="15" customHeight="1" x14ac:dyDescent="0.25">
      <c r="B50" s="130">
        <v>41</v>
      </c>
      <c r="C50" s="77" t="s">
        <v>70</v>
      </c>
      <c r="D50" s="41">
        <f t="shared" si="4"/>
        <v>1489178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  <c r="M50" s="53">
        <v>0</v>
      </c>
      <c r="N50" s="53">
        <v>592.02</v>
      </c>
      <c r="O50" s="53">
        <v>1489178</v>
      </c>
      <c r="P50" s="80">
        <v>0</v>
      </c>
      <c r="Q50" s="53">
        <v>0</v>
      </c>
      <c r="R50" s="75">
        <v>0</v>
      </c>
      <c r="S50" s="53">
        <v>0</v>
      </c>
      <c r="T50" s="54">
        <v>0</v>
      </c>
      <c r="U50" s="167">
        <v>0</v>
      </c>
      <c r="V50" s="171"/>
      <c r="W50" s="53"/>
      <c r="X50" s="53"/>
    </row>
    <row r="51" spans="2:24" s="44" customFormat="1" ht="15" customHeight="1" x14ac:dyDescent="0.25">
      <c r="B51" s="130">
        <v>42</v>
      </c>
      <c r="C51" s="77" t="s">
        <v>135</v>
      </c>
      <c r="D51" s="41">
        <f t="shared" si="4"/>
        <v>3420500</v>
      </c>
      <c r="E51" s="53">
        <f>SUM(F51:K51)</f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  <c r="M51" s="53">
        <v>0</v>
      </c>
      <c r="N51" s="53">
        <v>0</v>
      </c>
      <c r="O51" s="41">
        <v>0</v>
      </c>
      <c r="P51" s="80">
        <v>0</v>
      </c>
      <c r="Q51" s="53">
        <v>0</v>
      </c>
      <c r="R51" s="75">
        <v>2250</v>
      </c>
      <c r="S51" s="53">
        <v>3420500</v>
      </c>
      <c r="T51" s="54">
        <v>0</v>
      </c>
      <c r="U51" s="167">
        <v>0</v>
      </c>
      <c r="V51" s="171"/>
      <c r="W51" s="53"/>
      <c r="X51" s="53"/>
    </row>
    <row r="52" spans="2:24" s="44" customFormat="1" ht="15" customHeight="1" x14ac:dyDescent="0.25">
      <c r="B52" s="130">
        <v>43</v>
      </c>
      <c r="C52" s="77" t="s">
        <v>139</v>
      </c>
      <c r="D52" s="41">
        <f t="shared" si="4"/>
        <v>5820590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3</v>
      </c>
      <c r="M52" s="53">
        <v>5820590</v>
      </c>
      <c r="N52" s="53">
        <v>0</v>
      </c>
      <c r="O52" s="53">
        <v>0</v>
      </c>
      <c r="P52" s="80">
        <v>0</v>
      </c>
      <c r="Q52" s="53">
        <v>0</v>
      </c>
      <c r="R52" s="75">
        <v>0</v>
      </c>
      <c r="S52" s="53">
        <v>0</v>
      </c>
      <c r="T52" s="54">
        <v>0</v>
      </c>
      <c r="U52" s="167">
        <v>0</v>
      </c>
      <c r="V52" s="171" t="e">
        <f>#REF!*0.08</f>
        <v>#REF!</v>
      </c>
      <c r="W52" s="53" t="e">
        <f>#REF!*0.0214</f>
        <v>#REF!</v>
      </c>
      <c r="X52" s="53" t="e">
        <f>#REF!+V52+W52</f>
        <v>#REF!</v>
      </c>
    </row>
    <row r="53" spans="2:24" s="44" customFormat="1" ht="15" customHeight="1" x14ac:dyDescent="0.25">
      <c r="B53" s="130">
        <v>44</v>
      </c>
      <c r="C53" s="77" t="s">
        <v>142</v>
      </c>
      <c r="D53" s="41">
        <f t="shared" si="4"/>
        <v>9729120</v>
      </c>
      <c r="E53" s="53">
        <f t="shared" ref="E53:E59" si="5">SUM(F53:K53)</f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5</v>
      </c>
      <c r="M53" s="53">
        <v>9729120</v>
      </c>
      <c r="N53" s="53">
        <v>0</v>
      </c>
      <c r="O53" s="53">
        <v>0</v>
      </c>
      <c r="P53" s="80">
        <v>0</v>
      </c>
      <c r="Q53" s="53">
        <v>0</v>
      </c>
      <c r="R53" s="75">
        <v>0</v>
      </c>
      <c r="S53" s="53">
        <v>0</v>
      </c>
      <c r="T53" s="54">
        <v>0</v>
      </c>
      <c r="U53" s="167">
        <v>0</v>
      </c>
      <c r="V53" s="170"/>
      <c r="W53" s="56"/>
      <c r="X53" s="56"/>
    </row>
    <row r="54" spans="2:24" s="44" customFormat="1" ht="15" customHeight="1" x14ac:dyDescent="0.25">
      <c r="B54" s="130">
        <v>45</v>
      </c>
      <c r="C54" s="77" t="s">
        <v>119</v>
      </c>
      <c r="D54" s="41">
        <f t="shared" si="4"/>
        <v>380826</v>
      </c>
      <c r="E54" s="53">
        <f t="shared" si="5"/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  <c r="M54" s="53">
        <v>0</v>
      </c>
      <c r="N54" s="53">
        <v>0</v>
      </c>
      <c r="O54" s="53">
        <v>0</v>
      </c>
      <c r="P54" s="80">
        <v>0</v>
      </c>
      <c r="Q54" s="53">
        <v>0</v>
      </c>
      <c r="R54" s="75">
        <v>839.4</v>
      </c>
      <c r="S54" s="53">
        <v>380826</v>
      </c>
      <c r="T54" s="54">
        <v>0</v>
      </c>
      <c r="U54" s="167">
        <v>0</v>
      </c>
      <c r="V54" s="170"/>
      <c r="W54" s="56"/>
      <c r="X54" s="56"/>
    </row>
    <row r="55" spans="2:24" s="44" customFormat="1" ht="15" customHeight="1" x14ac:dyDescent="0.25">
      <c r="B55" s="130">
        <v>46</v>
      </c>
      <c r="C55" s="77" t="s">
        <v>136</v>
      </c>
      <c r="D55" s="41">
        <f t="shared" si="4"/>
        <v>1767426</v>
      </c>
      <c r="E55" s="53">
        <f t="shared" si="5"/>
        <v>1767426</v>
      </c>
      <c r="F55" s="53">
        <v>1767426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  <c r="M55" s="53">
        <v>0</v>
      </c>
      <c r="N55" s="53">
        <v>0</v>
      </c>
      <c r="O55" s="53">
        <v>0</v>
      </c>
      <c r="P55" s="80">
        <v>0</v>
      </c>
      <c r="Q55" s="53">
        <v>0</v>
      </c>
      <c r="R55" s="75">
        <v>0</v>
      </c>
      <c r="S55" s="53">
        <v>0</v>
      </c>
      <c r="T55" s="54">
        <v>0</v>
      </c>
      <c r="U55" s="167">
        <v>0</v>
      </c>
      <c r="V55" s="171"/>
      <c r="W55" s="53"/>
      <c r="X55" s="53"/>
    </row>
    <row r="56" spans="2:24" s="44" customFormat="1" ht="15" customHeight="1" x14ac:dyDescent="0.25">
      <c r="B56" s="130">
        <v>47</v>
      </c>
      <c r="C56" s="77" t="s">
        <v>82</v>
      </c>
      <c r="D56" s="41">
        <f t="shared" si="4"/>
        <v>2777435</v>
      </c>
      <c r="E56" s="53">
        <f t="shared" si="5"/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1</v>
      </c>
      <c r="M56" s="53">
        <v>1936723</v>
      </c>
      <c r="N56" s="53">
        <v>328</v>
      </c>
      <c r="O56" s="53">
        <v>840712</v>
      </c>
      <c r="P56" s="80">
        <v>0</v>
      </c>
      <c r="Q56" s="53">
        <v>0</v>
      </c>
      <c r="R56" s="80">
        <v>0</v>
      </c>
      <c r="S56" s="41">
        <v>0</v>
      </c>
      <c r="T56" s="54">
        <v>0</v>
      </c>
      <c r="U56" s="167">
        <v>0</v>
      </c>
      <c r="V56" s="171"/>
      <c r="W56" s="53"/>
      <c r="X56" s="53"/>
    </row>
    <row r="57" spans="2:24" s="44" customFormat="1" ht="15" customHeight="1" x14ac:dyDescent="0.25">
      <c r="B57" s="130">
        <v>48</v>
      </c>
      <c r="C57" s="77" t="s">
        <v>83</v>
      </c>
      <c r="D57" s="41">
        <f t="shared" si="4"/>
        <v>10898084</v>
      </c>
      <c r="E57" s="53">
        <f t="shared" si="5"/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4</v>
      </c>
      <c r="M57" s="53">
        <v>7762394</v>
      </c>
      <c r="N57" s="53">
        <v>1262</v>
      </c>
      <c r="O57" s="53">
        <v>3135690</v>
      </c>
      <c r="P57" s="80">
        <v>0</v>
      </c>
      <c r="Q57" s="53">
        <v>0</v>
      </c>
      <c r="R57" s="75">
        <v>0</v>
      </c>
      <c r="S57" s="53">
        <v>0</v>
      </c>
      <c r="T57" s="54">
        <v>0</v>
      </c>
      <c r="U57" s="167">
        <v>0</v>
      </c>
      <c r="V57" s="171"/>
      <c r="W57" s="53"/>
      <c r="X57" s="53"/>
    </row>
    <row r="58" spans="2:24" s="44" customFormat="1" ht="15" customHeight="1" x14ac:dyDescent="0.25">
      <c r="B58" s="130">
        <v>49</v>
      </c>
      <c r="C58" s="77" t="s">
        <v>145</v>
      </c>
      <c r="D58" s="41">
        <f t="shared" si="4"/>
        <v>454703</v>
      </c>
      <c r="E58" s="53">
        <f t="shared" si="5"/>
        <v>454703</v>
      </c>
      <c r="F58" s="53">
        <v>454703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  <c r="M58" s="53">
        <v>0</v>
      </c>
      <c r="N58" s="53">
        <v>0</v>
      </c>
      <c r="O58" s="53">
        <v>0</v>
      </c>
      <c r="P58" s="80">
        <v>0</v>
      </c>
      <c r="Q58" s="53">
        <v>0</v>
      </c>
      <c r="R58" s="75">
        <v>0</v>
      </c>
      <c r="S58" s="53">
        <v>0</v>
      </c>
      <c r="T58" s="54">
        <v>0</v>
      </c>
      <c r="U58" s="167">
        <v>0</v>
      </c>
      <c r="V58" s="171"/>
      <c r="W58" s="53"/>
      <c r="X58" s="53"/>
    </row>
    <row r="59" spans="2:24" ht="15" customHeight="1" x14ac:dyDescent="0.25">
      <c r="B59" s="130">
        <v>50</v>
      </c>
      <c r="C59" s="77" t="s">
        <v>96</v>
      </c>
      <c r="D59" s="41">
        <f t="shared" si="4"/>
        <v>3313369</v>
      </c>
      <c r="E59" s="53">
        <f t="shared" si="5"/>
        <v>3313369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3313369</v>
      </c>
      <c r="L59" s="54">
        <v>0</v>
      </c>
      <c r="M59" s="53">
        <v>0</v>
      </c>
      <c r="N59" s="53">
        <v>0</v>
      </c>
      <c r="O59" s="53">
        <v>0</v>
      </c>
      <c r="P59" s="80">
        <v>0</v>
      </c>
      <c r="Q59" s="53">
        <v>0</v>
      </c>
      <c r="R59" s="75">
        <v>0</v>
      </c>
      <c r="S59" s="53">
        <v>0</v>
      </c>
      <c r="T59" s="54">
        <v>0</v>
      </c>
      <c r="U59" s="167">
        <v>0</v>
      </c>
      <c r="V59" s="171"/>
      <c r="W59" s="53"/>
      <c r="X59" s="53"/>
    </row>
    <row r="60" spans="2:24" s="19" customFormat="1" ht="15" customHeight="1" x14ac:dyDescent="0.25">
      <c r="B60" s="130">
        <v>51</v>
      </c>
      <c r="C60" s="77" t="s">
        <v>63</v>
      </c>
      <c r="D60" s="41">
        <f t="shared" si="4"/>
        <v>2711950</v>
      </c>
      <c r="E60" s="53">
        <v>0</v>
      </c>
      <c r="F60" s="53">
        <v>0</v>
      </c>
      <c r="G60" s="41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  <c r="M60" s="53">
        <v>0</v>
      </c>
      <c r="N60" s="53">
        <v>1096</v>
      </c>
      <c r="O60" s="53">
        <v>2711950</v>
      </c>
      <c r="P60" s="80">
        <v>0</v>
      </c>
      <c r="Q60" s="53">
        <v>0</v>
      </c>
      <c r="R60" s="80">
        <v>0</v>
      </c>
      <c r="S60" s="53">
        <v>0</v>
      </c>
      <c r="T60" s="54">
        <v>0</v>
      </c>
      <c r="U60" s="167">
        <v>0</v>
      </c>
      <c r="V60" s="171"/>
      <c r="W60" s="53"/>
      <c r="X60" s="53"/>
    </row>
    <row r="61" spans="2:24" s="58" customFormat="1" ht="16.5" customHeight="1" x14ac:dyDescent="0.25">
      <c r="B61" s="130">
        <v>52</v>
      </c>
      <c r="C61" s="77" t="s">
        <v>64</v>
      </c>
      <c r="D61" s="41">
        <f t="shared" si="4"/>
        <v>1023727</v>
      </c>
      <c r="E61" s="53">
        <f t="shared" ref="E61:E87" si="6">SUM(F61:K61)</f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  <c r="M61" s="53">
        <v>0</v>
      </c>
      <c r="N61" s="53">
        <v>0</v>
      </c>
      <c r="O61" s="53">
        <v>0</v>
      </c>
      <c r="P61" s="80">
        <v>1026.4000000000001</v>
      </c>
      <c r="Q61" s="53">
        <v>1023727</v>
      </c>
      <c r="R61" s="80">
        <v>0</v>
      </c>
      <c r="S61" s="53">
        <v>0</v>
      </c>
      <c r="T61" s="54">
        <v>0</v>
      </c>
      <c r="U61" s="167">
        <v>0</v>
      </c>
      <c r="V61" s="171"/>
      <c r="W61" s="53"/>
      <c r="X61" s="53"/>
    </row>
    <row r="62" spans="2:24" s="58" customFormat="1" x14ac:dyDescent="0.25">
      <c r="B62" s="130">
        <v>53</v>
      </c>
      <c r="C62" s="77" t="s">
        <v>115</v>
      </c>
      <c r="D62" s="41">
        <f t="shared" si="4"/>
        <v>3635931</v>
      </c>
      <c r="E62" s="53">
        <f t="shared" si="6"/>
        <v>0</v>
      </c>
      <c r="F62" s="53">
        <v>0</v>
      </c>
      <c r="G62" s="53">
        <v>0</v>
      </c>
      <c r="H62" s="53">
        <v>0</v>
      </c>
      <c r="I62" s="53">
        <v>0</v>
      </c>
      <c r="J62" s="57">
        <v>0</v>
      </c>
      <c r="K62" s="53">
        <v>0</v>
      </c>
      <c r="L62" s="54">
        <v>0</v>
      </c>
      <c r="M62" s="53">
        <v>0</v>
      </c>
      <c r="N62" s="41">
        <v>713.4</v>
      </c>
      <c r="O62" s="53">
        <v>2248288</v>
      </c>
      <c r="P62" s="80">
        <v>0</v>
      </c>
      <c r="Q62" s="53">
        <v>0</v>
      </c>
      <c r="R62" s="80">
        <v>921.24</v>
      </c>
      <c r="S62" s="53">
        <v>1387643</v>
      </c>
      <c r="T62" s="54">
        <v>0</v>
      </c>
      <c r="U62" s="167">
        <v>0</v>
      </c>
      <c r="V62" s="171" t="e">
        <f>#REF!*0.08</f>
        <v>#REF!</v>
      </c>
      <c r="W62" s="53" t="e">
        <f>#REF!*0.0214</f>
        <v>#REF!</v>
      </c>
      <c r="X62" s="53" t="e">
        <f>#REF!+V62+W62</f>
        <v>#REF!</v>
      </c>
    </row>
    <row r="63" spans="2:24" s="58" customFormat="1" x14ac:dyDescent="0.25">
      <c r="B63" s="130">
        <v>54</v>
      </c>
      <c r="C63" s="77" t="s">
        <v>42</v>
      </c>
      <c r="D63" s="41">
        <f t="shared" si="4"/>
        <v>474537</v>
      </c>
      <c r="E63" s="53">
        <f t="shared" si="6"/>
        <v>474537</v>
      </c>
      <c r="F63" s="53">
        <v>474537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  <c r="M63" s="53">
        <v>0</v>
      </c>
      <c r="N63" s="53">
        <v>0</v>
      </c>
      <c r="O63" s="41">
        <v>0</v>
      </c>
      <c r="P63" s="80">
        <v>0</v>
      </c>
      <c r="Q63" s="53">
        <v>0</v>
      </c>
      <c r="R63" s="80">
        <v>0</v>
      </c>
      <c r="S63" s="53">
        <v>0</v>
      </c>
      <c r="T63" s="54">
        <v>0</v>
      </c>
      <c r="U63" s="167">
        <v>0</v>
      </c>
      <c r="V63" s="171"/>
      <c r="W63" s="53"/>
      <c r="X63" s="53"/>
    </row>
    <row r="64" spans="2:24" s="58" customFormat="1" x14ac:dyDescent="0.25">
      <c r="B64" s="130">
        <v>55</v>
      </c>
      <c r="C64" s="77" t="s">
        <v>75</v>
      </c>
      <c r="D64" s="41">
        <f t="shared" si="4"/>
        <v>472639</v>
      </c>
      <c r="E64" s="53">
        <f t="shared" si="6"/>
        <v>472639</v>
      </c>
      <c r="F64" s="53">
        <v>472639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  <c r="M64" s="53">
        <v>0</v>
      </c>
      <c r="N64" s="53">
        <v>0</v>
      </c>
      <c r="O64" s="53">
        <v>0</v>
      </c>
      <c r="P64" s="80">
        <v>0</v>
      </c>
      <c r="Q64" s="53">
        <v>0</v>
      </c>
      <c r="R64" s="80">
        <v>0</v>
      </c>
      <c r="S64" s="53">
        <v>0</v>
      </c>
      <c r="T64" s="54">
        <v>0</v>
      </c>
      <c r="U64" s="167">
        <v>0</v>
      </c>
      <c r="V64" s="171"/>
      <c r="W64" s="53"/>
      <c r="X64" s="53"/>
    </row>
    <row r="65" spans="2:24" s="44" customFormat="1" x14ac:dyDescent="0.25">
      <c r="B65" s="130">
        <v>56</v>
      </c>
      <c r="C65" s="77" t="s">
        <v>120</v>
      </c>
      <c r="D65" s="41">
        <f t="shared" si="4"/>
        <v>2650601</v>
      </c>
      <c r="E65" s="53">
        <f t="shared" si="6"/>
        <v>2650601</v>
      </c>
      <c r="F65" s="53">
        <v>2650601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  <c r="M65" s="53">
        <v>0</v>
      </c>
      <c r="N65" s="53">
        <v>0</v>
      </c>
      <c r="O65" s="53">
        <v>0</v>
      </c>
      <c r="P65" s="80">
        <v>0</v>
      </c>
      <c r="Q65" s="53">
        <v>0</v>
      </c>
      <c r="R65" s="80">
        <v>0</v>
      </c>
      <c r="S65" s="53">
        <v>0</v>
      </c>
      <c r="T65" s="54">
        <v>0</v>
      </c>
      <c r="U65" s="167">
        <v>0</v>
      </c>
      <c r="V65" s="171"/>
      <c r="W65" s="53"/>
      <c r="X65" s="53"/>
    </row>
    <row r="66" spans="2:24" s="58" customFormat="1" x14ac:dyDescent="0.25">
      <c r="B66" s="130">
        <v>57</v>
      </c>
      <c r="C66" s="77" t="s">
        <v>77</v>
      </c>
      <c r="D66" s="41">
        <f t="shared" si="4"/>
        <v>1580192</v>
      </c>
      <c r="E66" s="53">
        <f t="shared" si="6"/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  <c r="M66" s="53">
        <v>0</v>
      </c>
      <c r="N66" s="53">
        <v>0</v>
      </c>
      <c r="O66" s="53">
        <v>0</v>
      </c>
      <c r="P66" s="80">
        <v>0</v>
      </c>
      <c r="Q66" s="53">
        <v>0</v>
      </c>
      <c r="R66" s="80">
        <v>1048.8</v>
      </c>
      <c r="S66" s="53">
        <v>1580192</v>
      </c>
      <c r="T66" s="54">
        <v>0</v>
      </c>
      <c r="U66" s="167">
        <v>0</v>
      </c>
      <c r="V66" s="170"/>
      <c r="W66" s="56"/>
      <c r="X66" s="56"/>
    </row>
    <row r="67" spans="2:24" s="19" customFormat="1" x14ac:dyDescent="0.25">
      <c r="B67" s="130">
        <v>58</v>
      </c>
      <c r="C67" s="77" t="s">
        <v>93</v>
      </c>
      <c r="D67" s="41">
        <f t="shared" si="4"/>
        <v>3866026</v>
      </c>
      <c r="E67" s="53">
        <f t="shared" si="6"/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2</v>
      </c>
      <c r="M67" s="53">
        <v>3866026</v>
      </c>
      <c r="N67" s="53">
        <v>0</v>
      </c>
      <c r="O67" s="53">
        <v>0</v>
      </c>
      <c r="P67" s="80">
        <v>0</v>
      </c>
      <c r="Q67" s="53">
        <v>0</v>
      </c>
      <c r="R67" s="80">
        <v>0</v>
      </c>
      <c r="S67" s="53">
        <v>0</v>
      </c>
      <c r="T67" s="54">
        <v>0</v>
      </c>
      <c r="U67" s="167">
        <v>0</v>
      </c>
      <c r="V67" s="171" t="e">
        <f>#REF!*0.08</f>
        <v>#REF!</v>
      </c>
      <c r="W67" s="53" t="e">
        <f>#REF!*0.0214</f>
        <v>#REF!</v>
      </c>
      <c r="X67" s="53" t="e">
        <f>#REF!+V67+W67</f>
        <v>#REF!</v>
      </c>
    </row>
    <row r="68" spans="2:24" s="58" customFormat="1" x14ac:dyDescent="0.25">
      <c r="B68" s="130">
        <v>59</v>
      </c>
      <c r="C68" s="77" t="s">
        <v>131</v>
      </c>
      <c r="D68" s="41">
        <f t="shared" si="4"/>
        <v>4922798</v>
      </c>
      <c r="E68" s="53">
        <f t="shared" si="6"/>
        <v>4922798</v>
      </c>
      <c r="F68" s="53">
        <v>0</v>
      </c>
      <c r="G68" s="53">
        <v>4922798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  <c r="M68" s="53">
        <v>0</v>
      </c>
      <c r="N68" s="53">
        <v>0</v>
      </c>
      <c r="O68" s="53">
        <v>0</v>
      </c>
      <c r="P68" s="80">
        <v>0</v>
      </c>
      <c r="Q68" s="53">
        <v>0</v>
      </c>
      <c r="R68" s="80">
        <v>0</v>
      </c>
      <c r="S68" s="53">
        <v>0</v>
      </c>
      <c r="T68" s="54">
        <v>0</v>
      </c>
      <c r="U68" s="167">
        <v>0</v>
      </c>
      <c r="V68" s="171"/>
      <c r="W68" s="53"/>
      <c r="X68" s="53"/>
    </row>
    <row r="69" spans="2:24" s="58" customFormat="1" x14ac:dyDescent="0.25">
      <c r="B69" s="130">
        <v>60</v>
      </c>
      <c r="C69" s="77" t="s">
        <v>43</v>
      </c>
      <c r="D69" s="41">
        <f t="shared" si="4"/>
        <v>1936573</v>
      </c>
      <c r="E69" s="53">
        <f t="shared" si="6"/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1</v>
      </c>
      <c r="M69" s="41">
        <v>1936573</v>
      </c>
      <c r="N69" s="53">
        <v>0</v>
      </c>
      <c r="O69" s="53">
        <v>0</v>
      </c>
      <c r="P69" s="80">
        <v>0</v>
      </c>
      <c r="Q69" s="53">
        <v>0</v>
      </c>
      <c r="R69" s="80">
        <v>0</v>
      </c>
      <c r="S69" s="53">
        <v>0</v>
      </c>
      <c r="T69" s="54">
        <v>0</v>
      </c>
      <c r="U69" s="167">
        <v>0</v>
      </c>
      <c r="V69" s="171"/>
      <c r="W69" s="53"/>
      <c r="X69" s="53"/>
    </row>
    <row r="70" spans="2:24" s="58" customFormat="1" x14ac:dyDescent="0.25">
      <c r="B70" s="130">
        <v>61</v>
      </c>
      <c r="C70" s="77" t="s">
        <v>143</v>
      </c>
      <c r="D70" s="41">
        <f t="shared" si="4"/>
        <v>1941891</v>
      </c>
      <c r="E70" s="53">
        <f t="shared" si="6"/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1</v>
      </c>
      <c r="M70" s="53">
        <v>1941891</v>
      </c>
      <c r="N70" s="53">
        <v>0</v>
      </c>
      <c r="O70" s="53">
        <v>0</v>
      </c>
      <c r="P70" s="80">
        <v>0</v>
      </c>
      <c r="Q70" s="53">
        <v>0</v>
      </c>
      <c r="R70" s="80">
        <v>0</v>
      </c>
      <c r="S70" s="53">
        <v>0</v>
      </c>
      <c r="T70" s="54">
        <v>0</v>
      </c>
      <c r="U70" s="167">
        <v>0</v>
      </c>
      <c r="V70" s="171"/>
      <c r="W70" s="53"/>
      <c r="X70" s="53"/>
    </row>
    <row r="71" spans="2:24" s="58" customFormat="1" x14ac:dyDescent="0.25">
      <c r="B71" s="130">
        <v>62</v>
      </c>
      <c r="C71" s="77" t="s">
        <v>72</v>
      </c>
      <c r="D71" s="41">
        <f t="shared" si="4"/>
        <v>593036</v>
      </c>
      <c r="E71" s="53">
        <f t="shared" si="6"/>
        <v>593036</v>
      </c>
      <c r="F71" s="53">
        <v>593036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  <c r="M71" s="53">
        <v>0</v>
      </c>
      <c r="N71" s="53">
        <v>0</v>
      </c>
      <c r="O71" s="53">
        <v>0</v>
      </c>
      <c r="P71" s="80">
        <v>0</v>
      </c>
      <c r="Q71" s="53">
        <v>0</v>
      </c>
      <c r="R71" s="80">
        <v>0</v>
      </c>
      <c r="S71" s="53">
        <v>0</v>
      </c>
      <c r="T71" s="54">
        <v>0</v>
      </c>
      <c r="U71" s="167">
        <v>0</v>
      </c>
      <c r="V71" s="171"/>
      <c r="W71" s="53"/>
      <c r="X71" s="53"/>
    </row>
    <row r="72" spans="2:24" s="58" customFormat="1" x14ac:dyDescent="0.25">
      <c r="B72" s="130">
        <v>63</v>
      </c>
      <c r="C72" s="77" t="s">
        <v>104</v>
      </c>
      <c r="D72" s="41">
        <f t="shared" si="4"/>
        <v>1238157</v>
      </c>
      <c r="E72" s="53">
        <f t="shared" si="6"/>
        <v>1238157</v>
      </c>
      <c r="F72" s="53">
        <v>290012</v>
      </c>
      <c r="G72" s="53">
        <v>388957</v>
      </c>
      <c r="H72" s="53">
        <v>0</v>
      </c>
      <c r="I72" s="41">
        <v>341735</v>
      </c>
      <c r="J72" s="53">
        <v>0</v>
      </c>
      <c r="K72" s="53">
        <v>217453</v>
      </c>
      <c r="L72" s="54">
        <v>0</v>
      </c>
      <c r="M72" s="53">
        <v>0</v>
      </c>
      <c r="N72" s="53">
        <v>0</v>
      </c>
      <c r="O72" s="53">
        <v>0</v>
      </c>
      <c r="P72" s="80">
        <v>0</v>
      </c>
      <c r="Q72" s="53">
        <v>0</v>
      </c>
      <c r="R72" s="80">
        <v>0</v>
      </c>
      <c r="S72" s="53">
        <v>0</v>
      </c>
      <c r="T72" s="54">
        <v>0</v>
      </c>
      <c r="U72" s="167">
        <v>0</v>
      </c>
      <c r="V72" s="171"/>
      <c r="W72" s="53"/>
      <c r="X72" s="53"/>
    </row>
    <row r="73" spans="2:24" s="19" customFormat="1" x14ac:dyDescent="0.25">
      <c r="B73" s="130">
        <v>64</v>
      </c>
      <c r="C73" s="77" t="s">
        <v>89</v>
      </c>
      <c r="D73" s="41">
        <f t="shared" ref="D73:D128" si="7">E73+M73+O73+Q73+S73+U73</f>
        <v>1220739</v>
      </c>
      <c r="E73" s="53">
        <f t="shared" si="6"/>
        <v>1220739</v>
      </c>
      <c r="F73" s="53">
        <v>347336</v>
      </c>
      <c r="G73" s="53">
        <v>466510</v>
      </c>
      <c r="H73" s="53">
        <v>0</v>
      </c>
      <c r="I73" s="53">
        <v>0</v>
      </c>
      <c r="J73" s="53">
        <v>406893</v>
      </c>
      <c r="K73" s="53">
        <v>0</v>
      </c>
      <c r="L73" s="54">
        <v>0</v>
      </c>
      <c r="M73" s="53">
        <v>0</v>
      </c>
      <c r="N73" s="53">
        <v>0</v>
      </c>
      <c r="O73" s="53">
        <v>0</v>
      </c>
      <c r="P73" s="80">
        <v>0</v>
      </c>
      <c r="Q73" s="53">
        <v>0</v>
      </c>
      <c r="R73" s="80">
        <v>0</v>
      </c>
      <c r="S73" s="53">
        <v>0</v>
      </c>
      <c r="T73" s="54">
        <v>0</v>
      </c>
      <c r="U73" s="167">
        <v>0</v>
      </c>
      <c r="V73" s="170"/>
      <c r="W73" s="56"/>
      <c r="X73" s="56"/>
    </row>
    <row r="74" spans="2:24" s="58" customFormat="1" ht="15" customHeight="1" x14ac:dyDescent="0.25">
      <c r="B74" s="130">
        <v>65</v>
      </c>
      <c r="C74" s="77" t="s">
        <v>65</v>
      </c>
      <c r="D74" s="41">
        <f t="shared" si="7"/>
        <v>7766468</v>
      </c>
      <c r="E74" s="53">
        <f t="shared" si="6"/>
        <v>0</v>
      </c>
      <c r="F74" s="53">
        <v>0</v>
      </c>
      <c r="G74" s="41">
        <v>0</v>
      </c>
      <c r="H74" s="53">
        <v>0</v>
      </c>
      <c r="I74" s="53">
        <v>0</v>
      </c>
      <c r="J74" s="53">
        <v>0</v>
      </c>
      <c r="K74" s="53">
        <v>0</v>
      </c>
      <c r="L74" s="54">
        <v>4</v>
      </c>
      <c r="M74" s="53">
        <v>7766468</v>
      </c>
      <c r="N74" s="53">
        <v>0</v>
      </c>
      <c r="O74" s="53">
        <v>0</v>
      </c>
      <c r="P74" s="80">
        <v>0</v>
      </c>
      <c r="Q74" s="53">
        <v>0</v>
      </c>
      <c r="R74" s="80">
        <v>0</v>
      </c>
      <c r="S74" s="53">
        <v>0</v>
      </c>
      <c r="T74" s="54">
        <v>0</v>
      </c>
      <c r="U74" s="167">
        <v>0</v>
      </c>
      <c r="V74" s="171"/>
      <c r="W74" s="53"/>
      <c r="X74" s="53"/>
    </row>
    <row r="75" spans="2:24" s="58" customFormat="1" ht="15" customHeight="1" x14ac:dyDescent="0.25">
      <c r="B75" s="130">
        <v>66</v>
      </c>
      <c r="C75" s="77" t="s">
        <v>66</v>
      </c>
      <c r="D75" s="41">
        <f t="shared" si="7"/>
        <v>1162151</v>
      </c>
      <c r="E75" s="53">
        <f t="shared" si="6"/>
        <v>1162151</v>
      </c>
      <c r="F75" s="53">
        <v>1162151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  <c r="M75" s="53">
        <v>0</v>
      </c>
      <c r="N75" s="53">
        <v>0</v>
      </c>
      <c r="O75" s="53">
        <v>0</v>
      </c>
      <c r="P75" s="80">
        <v>0</v>
      </c>
      <c r="Q75" s="53">
        <v>0</v>
      </c>
      <c r="R75" s="75">
        <v>0</v>
      </c>
      <c r="S75" s="53">
        <v>0</v>
      </c>
      <c r="T75" s="54">
        <v>0</v>
      </c>
      <c r="U75" s="167">
        <v>0</v>
      </c>
      <c r="V75" s="170"/>
      <c r="W75" s="56"/>
      <c r="X75" s="56"/>
    </row>
    <row r="76" spans="2:24" s="58" customFormat="1" ht="15" customHeight="1" x14ac:dyDescent="0.25">
      <c r="B76" s="130">
        <v>67</v>
      </c>
      <c r="C76" s="77" t="s">
        <v>67</v>
      </c>
      <c r="D76" s="41">
        <f t="shared" si="7"/>
        <v>3866258</v>
      </c>
      <c r="E76" s="53">
        <f t="shared" si="6"/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2</v>
      </c>
      <c r="M76" s="53">
        <v>3866258</v>
      </c>
      <c r="N76" s="41">
        <v>0</v>
      </c>
      <c r="O76" s="53">
        <v>0</v>
      </c>
      <c r="P76" s="80">
        <v>0</v>
      </c>
      <c r="Q76" s="53">
        <v>0</v>
      </c>
      <c r="R76" s="80">
        <v>0</v>
      </c>
      <c r="S76" s="53">
        <v>0</v>
      </c>
      <c r="T76" s="54">
        <v>0</v>
      </c>
      <c r="U76" s="167">
        <v>0</v>
      </c>
      <c r="V76" s="171" t="e">
        <f>#REF!*0.08</f>
        <v>#REF!</v>
      </c>
      <c r="W76" s="53" t="e">
        <f>#REF!*0.0214</f>
        <v>#REF!</v>
      </c>
      <c r="X76" s="53" t="e">
        <f>#REF!+V76+W76</f>
        <v>#REF!</v>
      </c>
    </row>
    <row r="77" spans="2:24" s="58" customFormat="1" ht="15" customHeight="1" x14ac:dyDescent="0.25">
      <c r="B77" s="130">
        <v>68</v>
      </c>
      <c r="C77" s="77" t="s">
        <v>121</v>
      </c>
      <c r="D77" s="41">
        <f t="shared" si="7"/>
        <v>1746684</v>
      </c>
      <c r="E77" s="53">
        <f t="shared" si="6"/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  <c r="M77" s="53">
        <v>0</v>
      </c>
      <c r="N77" s="53">
        <v>0</v>
      </c>
      <c r="O77" s="53">
        <v>0</v>
      </c>
      <c r="P77" s="80">
        <v>0</v>
      </c>
      <c r="Q77" s="53">
        <v>0</v>
      </c>
      <c r="R77" s="80">
        <v>1155.08</v>
      </c>
      <c r="S77" s="53">
        <v>1746684</v>
      </c>
      <c r="T77" s="54">
        <v>0</v>
      </c>
      <c r="U77" s="167">
        <v>0</v>
      </c>
      <c r="V77" s="171"/>
      <c r="W77" s="53"/>
      <c r="X77" s="53"/>
    </row>
    <row r="78" spans="2:24" s="58" customFormat="1" ht="15" customHeight="1" x14ac:dyDescent="0.25">
      <c r="B78" s="130">
        <v>69</v>
      </c>
      <c r="C78" s="77" t="s">
        <v>129</v>
      </c>
      <c r="D78" s="41">
        <f t="shared" si="7"/>
        <v>1715952</v>
      </c>
      <c r="E78" s="53">
        <f t="shared" si="6"/>
        <v>1715952</v>
      </c>
      <c r="F78" s="53">
        <v>0</v>
      </c>
      <c r="G78" s="53">
        <v>1715952</v>
      </c>
      <c r="H78" s="53">
        <v>0</v>
      </c>
      <c r="I78" s="53">
        <v>0</v>
      </c>
      <c r="J78" s="53">
        <v>0</v>
      </c>
      <c r="K78" s="41">
        <v>0</v>
      </c>
      <c r="L78" s="54">
        <v>0</v>
      </c>
      <c r="M78" s="53">
        <v>0</v>
      </c>
      <c r="N78" s="53">
        <v>0</v>
      </c>
      <c r="O78" s="53">
        <v>0</v>
      </c>
      <c r="P78" s="80">
        <v>0</v>
      </c>
      <c r="Q78" s="53">
        <v>0</v>
      </c>
      <c r="R78" s="80">
        <v>0</v>
      </c>
      <c r="S78" s="53">
        <v>0</v>
      </c>
      <c r="T78" s="54">
        <v>0</v>
      </c>
      <c r="U78" s="167">
        <v>0</v>
      </c>
      <c r="V78" s="171"/>
      <c r="W78" s="53"/>
      <c r="X78" s="53"/>
    </row>
    <row r="79" spans="2:24" s="58" customFormat="1" ht="15" customHeight="1" x14ac:dyDescent="0.25">
      <c r="B79" s="130">
        <v>70</v>
      </c>
      <c r="C79" s="77" t="s">
        <v>79</v>
      </c>
      <c r="D79" s="41">
        <f t="shared" si="7"/>
        <v>3866218</v>
      </c>
      <c r="E79" s="53">
        <f t="shared" si="6"/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2</v>
      </c>
      <c r="M79" s="53">
        <v>3866218</v>
      </c>
      <c r="N79" s="53">
        <v>0</v>
      </c>
      <c r="O79" s="53">
        <v>0</v>
      </c>
      <c r="P79" s="80">
        <v>0</v>
      </c>
      <c r="Q79" s="53">
        <v>0</v>
      </c>
      <c r="R79" s="80">
        <v>0</v>
      </c>
      <c r="S79" s="53">
        <v>0</v>
      </c>
      <c r="T79" s="54">
        <v>0</v>
      </c>
      <c r="U79" s="167">
        <v>0</v>
      </c>
      <c r="V79" s="171" t="e">
        <f>#REF!*0.08</f>
        <v>#REF!</v>
      </c>
      <c r="W79" s="53" t="e">
        <f>#REF!*0.0214</f>
        <v>#REF!</v>
      </c>
      <c r="X79" s="53" t="e">
        <f>#REF!+V79+W79</f>
        <v>#REF!</v>
      </c>
    </row>
    <row r="80" spans="2:24" s="58" customFormat="1" ht="15" customHeight="1" x14ac:dyDescent="0.25">
      <c r="B80" s="130">
        <v>71</v>
      </c>
      <c r="C80" s="77" t="s">
        <v>147</v>
      </c>
      <c r="D80" s="41">
        <f t="shared" si="7"/>
        <v>13692057</v>
      </c>
      <c r="E80" s="53">
        <f t="shared" si="6"/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4">
        <v>7</v>
      </c>
      <c r="M80" s="53">
        <v>13692057</v>
      </c>
      <c r="N80" s="53">
        <v>0</v>
      </c>
      <c r="O80" s="41">
        <v>0</v>
      </c>
      <c r="P80" s="80">
        <v>0</v>
      </c>
      <c r="Q80" s="53">
        <v>0</v>
      </c>
      <c r="R80" s="80">
        <v>0</v>
      </c>
      <c r="S80" s="53">
        <v>0</v>
      </c>
      <c r="T80" s="54">
        <v>0</v>
      </c>
      <c r="U80" s="167">
        <v>0</v>
      </c>
      <c r="V80" s="171"/>
      <c r="W80" s="53"/>
      <c r="X80" s="53"/>
    </row>
    <row r="81" spans="2:24" s="58" customFormat="1" ht="15" customHeight="1" x14ac:dyDescent="0.25">
      <c r="B81" s="130">
        <v>72</v>
      </c>
      <c r="C81" s="77" t="s">
        <v>112</v>
      </c>
      <c r="D81" s="41">
        <f t="shared" si="7"/>
        <v>1936768</v>
      </c>
      <c r="E81" s="53">
        <f t="shared" si="6"/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1</v>
      </c>
      <c r="M81" s="53">
        <v>1936768</v>
      </c>
      <c r="N81" s="53">
        <v>0</v>
      </c>
      <c r="O81" s="53">
        <v>0</v>
      </c>
      <c r="P81" s="80">
        <v>0</v>
      </c>
      <c r="Q81" s="53">
        <v>0</v>
      </c>
      <c r="R81" s="80">
        <v>0</v>
      </c>
      <c r="S81" s="53">
        <v>0</v>
      </c>
      <c r="T81" s="54">
        <v>0</v>
      </c>
      <c r="U81" s="167">
        <v>0</v>
      </c>
      <c r="V81" s="171"/>
      <c r="W81" s="53"/>
      <c r="X81" s="53"/>
    </row>
    <row r="82" spans="2:24" s="58" customFormat="1" ht="15" customHeight="1" x14ac:dyDescent="0.25">
      <c r="B82" s="130">
        <v>73</v>
      </c>
      <c r="C82" s="77" t="s">
        <v>110</v>
      </c>
      <c r="D82" s="41">
        <f t="shared" si="7"/>
        <v>15721230</v>
      </c>
      <c r="E82" s="53">
        <f t="shared" si="6"/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8</v>
      </c>
      <c r="M82" s="53">
        <v>15721230</v>
      </c>
      <c r="N82" s="53">
        <v>0</v>
      </c>
      <c r="O82" s="53">
        <v>0</v>
      </c>
      <c r="P82" s="80">
        <v>0</v>
      </c>
      <c r="Q82" s="53">
        <v>0</v>
      </c>
      <c r="R82" s="80">
        <v>0</v>
      </c>
      <c r="S82" s="53">
        <v>0</v>
      </c>
      <c r="T82" s="54">
        <v>0</v>
      </c>
      <c r="U82" s="167">
        <v>0</v>
      </c>
      <c r="V82" s="171"/>
      <c r="W82" s="53"/>
      <c r="X82" s="53"/>
    </row>
    <row r="83" spans="2:24" s="58" customFormat="1" ht="15" customHeight="1" x14ac:dyDescent="0.25">
      <c r="B83" s="130">
        <v>74</v>
      </c>
      <c r="C83" s="77" t="s">
        <v>138</v>
      </c>
      <c r="D83" s="41">
        <f t="shared" si="7"/>
        <v>7718901</v>
      </c>
      <c r="E83" s="53">
        <f t="shared" si="6"/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3</v>
      </c>
      <c r="M83" s="53">
        <v>5807720</v>
      </c>
      <c r="N83" s="53">
        <v>1322.1</v>
      </c>
      <c r="O83" s="53">
        <v>1911181</v>
      </c>
      <c r="P83" s="80">
        <v>0</v>
      </c>
      <c r="Q83" s="53">
        <v>0</v>
      </c>
      <c r="R83" s="80">
        <v>0</v>
      </c>
      <c r="S83" s="53">
        <v>0</v>
      </c>
      <c r="T83" s="54">
        <v>0</v>
      </c>
      <c r="U83" s="167">
        <v>0</v>
      </c>
      <c r="V83" s="171"/>
      <c r="W83" s="53"/>
      <c r="X83" s="53"/>
    </row>
    <row r="84" spans="2:24" s="58" customFormat="1" ht="15.75" customHeight="1" x14ac:dyDescent="0.25">
      <c r="B84" s="130">
        <v>75</v>
      </c>
      <c r="C84" s="77" t="s">
        <v>81</v>
      </c>
      <c r="D84" s="41">
        <f t="shared" si="7"/>
        <v>2760093</v>
      </c>
      <c r="E84" s="53">
        <f t="shared" si="6"/>
        <v>0</v>
      </c>
      <c r="F84" s="41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1</v>
      </c>
      <c r="M84" s="53">
        <v>1936573</v>
      </c>
      <c r="N84" s="53">
        <v>321</v>
      </c>
      <c r="O84" s="53">
        <v>823520</v>
      </c>
      <c r="P84" s="80">
        <v>0</v>
      </c>
      <c r="Q84" s="53">
        <v>0</v>
      </c>
      <c r="R84" s="80">
        <v>0</v>
      </c>
      <c r="S84" s="53">
        <v>0</v>
      </c>
      <c r="T84" s="54">
        <v>0</v>
      </c>
      <c r="U84" s="167">
        <v>0</v>
      </c>
      <c r="V84" s="171"/>
      <c r="W84" s="53"/>
      <c r="X84" s="53"/>
    </row>
    <row r="85" spans="2:24" s="58" customFormat="1" ht="15" customHeight="1" x14ac:dyDescent="0.25">
      <c r="B85" s="130">
        <v>76</v>
      </c>
      <c r="C85" s="77" t="s">
        <v>111</v>
      </c>
      <c r="D85" s="41">
        <f t="shared" si="7"/>
        <v>2760575</v>
      </c>
      <c r="E85" s="53">
        <f t="shared" si="6"/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1</v>
      </c>
      <c r="M85" s="53">
        <v>1936928</v>
      </c>
      <c r="N85" s="53">
        <v>321</v>
      </c>
      <c r="O85" s="53">
        <v>823647</v>
      </c>
      <c r="P85" s="80">
        <v>0</v>
      </c>
      <c r="Q85" s="53">
        <v>0</v>
      </c>
      <c r="R85" s="80">
        <v>0</v>
      </c>
      <c r="S85" s="53">
        <v>0</v>
      </c>
      <c r="T85" s="54">
        <v>0</v>
      </c>
      <c r="U85" s="167">
        <v>0</v>
      </c>
      <c r="V85" s="171"/>
      <c r="W85" s="53"/>
      <c r="X85" s="53"/>
    </row>
    <row r="86" spans="2:24" s="58" customFormat="1" ht="15" customHeight="1" x14ac:dyDescent="0.25">
      <c r="B86" s="130">
        <v>77</v>
      </c>
      <c r="C86" s="77" t="s">
        <v>101</v>
      </c>
      <c r="D86" s="41">
        <f t="shared" si="7"/>
        <v>1942592</v>
      </c>
      <c r="E86" s="53">
        <f t="shared" si="6"/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1</v>
      </c>
      <c r="M86" s="53">
        <v>1942592</v>
      </c>
      <c r="N86" s="53">
        <v>0</v>
      </c>
      <c r="O86" s="41">
        <v>0</v>
      </c>
      <c r="P86" s="80">
        <v>0</v>
      </c>
      <c r="Q86" s="53">
        <v>0</v>
      </c>
      <c r="R86" s="80">
        <v>0</v>
      </c>
      <c r="S86" s="53">
        <v>0</v>
      </c>
      <c r="T86" s="54">
        <v>0</v>
      </c>
      <c r="U86" s="167">
        <v>0</v>
      </c>
      <c r="V86" s="171"/>
      <c r="W86" s="53"/>
      <c r="X86" s="53"/>
    </row>
    <row r="87" spans="2:24" s="58" customFormat="1" ht="15" customHeight="1" x14ac:dyDescent="0.25">
      <c r="B87" s="130">
        <v>78</v>
      </c>
      <c r="C87" s="77" t="s">
        <v>140</v>
      </c>
      <c r="D87" s="41">
        <f t="shared" si="7"/>
        <v>19462767</v>
      </c>
      <c r="E87" s="53">
        <f t="shared" si="6"/>
        <v>19462767</v>
      </c>
      <c r="F87" s="53">
        <v>0</v>
      </c>
      <c r="G87" s="53">
        <v>10389353</v>
      </c>
      <c r="H87" s="53">
        <v>0</v>
      </c>
      <c r="I87" s="53">
        <v>0</v>
      </c>
      <c r="J87" s="53">
        <v>9073414</v>
      </c>
      <c r="K87" s="53">
        <v>0</v>
      </c>
      <c r="L87" s="54">
        <v>0</v>
      </c>
      <c r="M87" s="53">
        <v>0</v>
      </c>
      <c r="N87" s="53">
        <v>0</v>
      </c>
      <c r="O87" s="53">
        <v>0</v>
      </c>
      <c r="P87" s="80">
        <v>0</v>
      </c>
      <c r="Q87" s="53">
        <v>0</v>
      </c>
      <c r="R87" s="80">
        <v>0</v>
      </c>
      <c r="S87" s="53">
        <v>0</v>
      </c>
      <c r="T87" s="54">
        <v>0</v>
      </c>
      <c r="U87" s="167">
        <v>0</v>
      </c>
      <c r="V87" s="171"/>
      <c r="W87" s="53"/>
      <c r="X87" s="53"/>
    </row>
    <row r="88" spans="2:24" s="58" customFormat="1" ht="15" customHeight="1" x14ac:dyDescent="0.25">
      <c r="B88" s="130">
        <v>79</v>
      </c>
      <c r="C88" s="77" t="s">
        <v>99</v>
      </c>
      <c r="D88" s="41">
        <f t="shared" si="7"/>
        <v>5348252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2</v>
      </c>
      <c r="M88" s="53">
        <v>3888336</v>
      </c>
      <c r="N88" s="53">
        <v>578</v>
      </c>
      <c r="O88" s="53">
        <v>1459916</v>
      </c>
      <c r="P88" s="80">
        <v>0</v>
      </c>
      <c r="Q88" s="53">
        <v>0</v>
      </c>
      <c r="R88" s="80">
        <v>0</v>
      </c>
      <c r="S88" s="53">
        <v>0</v>
      </c>
      <c r="T88" s="54">
        <v>0</v>
      </c>
      <c r="U88" s="167">
        <v>0</v>
      </c>
      <c r="V88" s="171"/>
      <c r="W88" s="53"/>
      <c r="X88" s="53"/>
    </row>
    <row r="89" spans="2:24" s="58" customFormat="1" ht="15" customHeight="1" x14ac:dyDescent="0.25">
      <c r="B89" s="130">
        <v>80</v>
      </c>
      <c r="C89" s="77" t="s">
        <v>376</v>
      </c>
      <c r="D89" s="41">
        <f t="shared" si="7"/>
        <v>12721764</v>
      </c>
      <c r="E89" s="53">
        <f t="shared" ref="E89:E125" si="8">SUM(F89:K89)</f>
        <v>2955118</v>
      </c>
      <c r="F89" s="53">
        <v>2955118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  <c r="M89" s="53">
        <v>0</v>
      </c>
      <c r="N89" s="53">
        <v>1583</v>
      </c>
      <c r="O89" s="41">
        <v>4980051</v>
      </c>
      <c r="P89" s="80">
        <v>0</v>
      </c>
      <c r="Q89" s="53">
        <v>0</v>
      </c>
      <c r="R89" s="80">
        <v>3198</v>
      </c>
      <c r="S89" s="53">
        <v>4786595</v>
      </c>
      <c r="T89" s="54">
        <v>0</v>
      </c>
      <c r="U89" s="167">
        <v>0</v>
      </c>
      <c r="V89" s="171"/>
      <c r="W89" s="53"/>
      <c r="X89" s="53"/>
    </row>
    <row r="90" spans="2:24" s="58" customFormat="1" ht="15" customHeight="1" x14ac:dyDescent="0.25">
      <c r="B90" s="130">
        <v>81</v>
      </c>
      <c r="C90" s="77" t="s">
        <v>98</v>
      </c>
      <c r="D90" s="41">
        <f t="shared" si="7"/>
        <v>1943184</v>
      </c>
      <c r="E90" s="53">
        <f t="shared" si="8"/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1</v>
      </c>
      <c r="M90" s="53">
        <v>1943184</v>
      </c>
      <c r="N90" s="53">
        <v>0</v>
      </c>
      <c r="O90" s="53">
        <v>0</v>
      </c>
      <c r="P90" s="80">
        <v>0</v>
      </c>
      <c r="Q90" s="53">
        <v>0</v>
      </c>
      <c r="R90" s="80">
        <v>0</v>
      </c>
      <c r="S90" s="53">
        <v>0</v>
      </c>
      <c r="T90" s="54">
        <v>0</v>
      </c>
      <c r="U90" s="167">
        <v>0</v>
      </c>
      <c r="V90" s="171"/>
      <c r="W90" s="53"/>
      <c r="X90" s="53"/>
    </row>
    <row r="91" spans="2:24" s="58" customFormat="1" ht="15" customHeight="1" thickBot="1" x14ac:dyDescent="0.3">
      <c r="B91" s="130">
        <v>82</v>
      </c>
      <c r="C91" s="77" t="s">
        <v>118</v>
      </c>
      <c r="D91" s="41">
        <f t="shared" si="7"/>
        <v>5783954</v>
      </c>
      <c r="E91" s="53">
        <f t="shared" si="8"/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3</v>
      </c>
      <c r="M91" s="53">
        <v>5783954</v>
      </c>
      <c r="N91" s="53">
        <v>0</v>
      </c>
      <c r="O91" s="53">
        <v>0</v>
      </c>
      <c r="P91" s="80">
        <v>0</v>
      </c>
      <c r="Q91" s="53">
        <v>0</v>
      </c>
      <c r="R91" s="80">
        <v>0</v>
      </c>
      <c r="S91" s="53">
        <v>0</v>
      </c>
      <c r="T91" s="54">
        <v>0</v>
      </c>
      <c r="U91" s="167">
        <v>0</v>
      </c>
      <c r="V91" s="172"/>
      <c r="W91" s="84"/>
      <c r="X91" s="84"/>
    </row>
    <row r="92" spans="2:24" s="58" customFormat="1" ht="15" customHeight="1" x14ac:dyDescent="0.25">
      <c r="B92" s="130">
        <v>83</v>
      </c>
      <c r="C92" s="77" t="s">
        <v>169</v>
      </c>
      <c r="D92" s="41">
        <f t="shared" si="7"/>
        <v>7993039</v>
      </c>
      <c r="E92" s="53">
        <f t="shared" si="8"/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3</v>
      </c>
      <c r="M92" s="53">
        <v>5806474</v>
      </c>
      <c r="N92" s="53">
        <v>875.55</v>
      </c>
      <c r="O92" s="53">
        <v>2186565</v>
      </c>
      <c r="P92" s="80">
        <v>0</v>
      </c>
      <c r="Q92" s="53">
        <v>0</v>
      </c>
      <c r="R92" s="80">
        <v>0</v>
      </c>
      <c r="S92" s="53">
        <v>0</v>
      </c>
      <c r="T92" s="54">
        <v>0</v>
      </c>
      <c r="U92" s="167">
        <v>0</v>
      </c>
      <c r="V92" s="124"/>
      <c r="W92" s="123"/>
      <c r="X92" s="123"/>
    </row>
    <row r="93" spans="2:24" s="58" customFormat="1" ht="15" customHeight="1" x14ac:dyDescent="0.25">
      <c r="B93" s="130">
        <v>84</v>
      </c>
      <c r="C93" s="77" t="s">
        <v>170</v>
      </c>
      <c r="D93" s="41">
        <f t="shared" si="7"/>
        <v>1168390</v>
      </c>
      <c r="E93" s="53">
        <f t="shared" si="8"/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  <c r="M93" s="53">
        <v>0</v>
      </c>
      <c r="N93" s="53">
        <v>0</v>
      </c>
      <c r="O93" s="53">
        <v>0</v>
      </c>
      <c r="P93" s="80">
        <v>0</v>
      </c>
      <c r="Q93" s="53">
        <v>0</v>
      </c>
      <c r="R93" s="80">
        <v>775</v>
      </c>
      <c r="S93" s="53">
        <v>1168390</v>
      </c>
      <c r="T93" s="54">
        <v>0</v>
      </c>
      <c r="U93" s="167">
        <v>0</v>
      </c>
      <c r="V93" s="124"/>
      <c r="W93" s="123"/>
      <c r="X93" s="123"/>
    </row>
    <row r="94" spans="2:24" s="19" customFormat="1" ht="15" customHeight="1" x14ac:dyDescent="0.25">
      <c r="B94" s="130">
        <v>85</v>
      </c>
      <c r="C94" s="17" t="s">
        <v>157</v>
      </c>
      <c r="D94" s="41">
        <f t="shared" si="7"/>
        <v>491391</v>
      </c>
      <c r="E94" s="53">
        <f t="shared" si="8"/>
        <v>491391</v>
      </c>
      <c r="F94" s="53">
        <v>0</v>
      </c>
      <c r="G94" s="53">
        <v>0</v>
      </c>
      <c r="H94" s="53">
        <v>0</v>
      </c>
      <c r="I94" s="53">
        <v>0</v>
      </c>
      <c r="J94" s="53">
        <v>491391</v>
      </c>
      <c r="K94" s="53">
        <v>0</v>
      </c>
      <c r="L94" s="54">
        <v>0</v>
      </c>
      <c r="M94" s="53">
        <v>0</v>
      </c>
      <c r="N94" s="53">
        <v>0</v>
      </c>
      <c r="O94" s="53">
        <v>0</v>
      </c>
      <c r="P94" s="80">
        <v>0</v>
      </c>
      <c r="Q94" s="53">
        <v>0</v>
      </c>
      <c r="R94" s="80">
        <v>0</v>
      </c>
      <c r="S94" s="53">
        <v>0</v>
      </c>
      <c r="T94" s="54">
        <v>0</v>
      </c>
      <c r="U94" s="167">
        <v>0</v>
      </c>
      <c r="V94" s="110"/>
      <c r="W94" s="82"/>
      <c r="X94" s="82"/>
    </row>
    <row r="95" spans="2:24" s="19" customFormat="1" ht="15" customHeight="1" x14ac:dyDescent="0.25">
      <c r="B95" s="130">
        <v>86</v>
      </c>
      <c r="C95" s="17" t="s">
        <v>156</v>
      </c>
      <c r="D95" s="41">
        <f t="shared" si="7"/>
        <v>830421</v>
      </c>
      <c r="E95" s="53">
        <f t="shared" si="8"/>
        <v>830421</v>
      </c>
      <c r="F95" s="53">
        <v>0</v>
      </c>
      <c r="G95" s="53">
        <v>830421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  <c r="M95" s="53">
        <v>0</v>
      </c>
      <c r="N95" s="53">
        <v>0</v>
      </c>
      <c r="O95" s="53">
        <v>0</v>
      </c>
      <c r="P95" s="80">
        <v>0</v>
      </c>
      <c r="Q95" s="53">
        <v>0</v>
      </c>
      <c r="R95" s="80">
        <v>0</v>
      </c>
      <c r="S95" s="53">
        <v>0</v>
      </c>
      <c r="T95" s="54">
        <v>0</v>
      </c>
      <c r="U95" s="167">
        <v>0</v>
      </c>
      <c r="V95" s="109"/>
      <c r="W95" s="74"/>
      <c r="X95" s="74"/>
    </row>
    <row r="96" spans="2:24" s="19" customFormat="1" ht="15" customHeight="1" x14ac:dyDescent="0.25">
      <c r="B96" s="130">
        <v>87</v>
      </c>
      <c r="C96" s="77" t="s">
        <v>177</v>
      </c>
      <c r="D96" s="41">
        <f t="shared" si="7"/>
        <v>5806170</v>
      </c>
      <c r="E96" s="53">
        <f t="shared" si="8"/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3</v>
      </c>
      <c r="M96" s="41">
        <v>5806170</v>
      </c>
      <c r="N96" s="53">
        <v>0</v>
      </c>
      <c r="O96" s="53">
        <v>0</v>
      </c>
      <c r="P96" s="80">
        <v>0</v>
      </c>
      <c r="Q96" s="53">
        <v>0</v>
      </c>
      <c r="R96" s="80">
        <v>0</v>
      </c>
      <c r="S96" s="53">
        <v>0</v>
      </c>
      <c r="T96" s="54">
        <v>0</v>
      </c>
      <c r="U96" s="167">
        <v>0</v>
      </c>
      <c r="V96" s="61"/>
      <c r="W96" s="61"/>
      <c r="X96" s="61"/>
    </row>
    <row r="97" spans="2:24" s="19" customFormat="1" ht="15" customHeight="1" x14ac:dyDescent="0.25">
      <c r="B97" s="130">
        <v>88</v>
      </c>
      <c r="C97" s="77" t="s">
        <v>176</v>
      </c>
      <c r="D97" s="41">
        <f t="shared" si="7"/>
        <v>1951242</v>
      </c>
      <c r="E97" s="53">
        <f t="shared" si="8"/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1</v>
      </c>
      <c r="M97" s="41">
        <v>1951242</v>
      </c>
      <c r="N97" s="53">
        <v>0</v>
      </c>
      <c r="O97" s="53">
        <v>0</v>
      </c>
      <c r="P97" s="80">
        <v>0</v>
      </c>
      <c r="Q97" s="53">
        <v>0</v>
      </c>
      <c r="R97" s="80">
        <v>0</v>
      </c>
      <c r="S97" s="53">
        <v>0</v>
      </c>
      <c r="T97" s="54">
        <v>0</v>
      </c>
      <c r="U97" s="167">
        <v>0</v>
      </c>
      <c r="V97" s="61"/>
      <c r="W97" s="61"/>
      <c r="X97" s="61"/>
    </row>
    <row r="98" spans="2:24" s="19" customFormat="1" ht="15" customHeight="1" x14ac:dyDescent="0.25">
      <c r="B98" s="130">
        <v>89</v>
      </c>
      <c r="C98" s="77" t="s">
        <v>175</v>
      </c>
      <c r="D98" s="41">
        <f t="shared" si="7"/>
        <v>19742980</v>
      </c>
      <c r="E98" s="53">
        <f t="shared" si="8"/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10</v>
      </c>
      <c r="M98" s="41">
        <v>19742980</v>
      </c>
      <c r="N98" s="53">
        <v>0</v>
      </c>
      <c r="O98" s="53">
        <v>0</v>
      </c>
      <c r="P98" s="80">
        <v>0</v>
      </c>
      <c r="Q98" s="53">
        <v>0</v>
      </c>
      <c r="R98" s="80">
        <v>0</v>
      </c>
      <c r="S98" s="53">
        <v>0</v>
      </c>
      <c r="T98" s="54">
        <v>0</v>
      </c>
      <c r="U98" s="167">
        <v>0</v>
      </c>
      <c r="V98" s="61"/>
      <c r="W98" s="61"/>
      <c r="X98" s="61"/>
    </row>
    <row r="99" spans="2:24" s="19" customFormat="1" ht="15" customHeight="1" x14ac:dyDescent="0.25">
      <c r="B99" s="130">
        <v>90</v>
      </c>
      <c r="C99" s="77" t="s">
        <v>178</v>
      </c>
      <c r="D99" s="41">
        <f t="shared" si="7"/>
        <v>9744109</v>
      </c>
      <c r="E99" s="53">
        <f t="shared" si="8"/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5</v>
      </c>
      <c r="M99" s="41">
        <v>9744109</v>
      </c>
      <c r="N99" s="53">
        <v>0</v>
      </c>
      <c r="O99" s="53">
        <v>0</v>
      </c>
      <c r="P99" s="80">
        <v>0</v>
      </c>
      <c r="Q99" s="53">
        <v>0</v>
      </c>
      <c r="R99" s="80">
        <v>0</v>
      </c>
      <c r="S99" s="53">
        <v>0</v>
      </c>
      <c r="T99" s="54">
        <v>0</v>
      </c>
      <c r="U99" s="167">
        <v>0</v>
      </c>
      <c r="V99" s="61"/>
      <c r="W99" s="61"/>
      <c r="X99" s="61"/>
    </row>
    <row r="100" spans="2:24" s="19" customFormat="1" ht="15" customHeight="1" x14ac:dyDescent="0.25">
      <c r="B100" s="130">
        <v>91</v>
      </c>
      <c r="C100" s="77" t="s">
        <v>179</v>
      </c>
      <c r="D100" s="41">
        <f t="shared" si="7"/>
        <v>5808008</v>
      </c>
      <c r="E100" s="53">
        <f t="shared" si="8"/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3</v>
      </c>
      <c r="M100" s="41">
        <v>5808008</v>
      </c>
      <c r="N100" s="53">
        <v>0</v>
      </c>
      <c r="O100" s="53">
        <v>0</v>
      </c>
      <c r="P100" s="80">
        <v>0</v>
      </c>
      <c r="Q100" s="53">
        <v>0</v>
      </c>
      <c r="R100" s="80">
        <v>0</v>
      </c>
      <c r="S100" s="53">
        <v>0</v>
      </c>
      <c r="T100" s="54">
        <v>0</v>
      </c>
      <c r="U100" s="167">
        <v>0</v>
      </c>
      <c r="V100" s="61"/>
      <c r="W100" s="61"/>
      <c r="X100" s="61"/>
    </row>
    <row r="101" spans="2:24" s="19" customFormat="1" ht="15" customHeight="1" x14ac:dyDescent="0.25">
      <c r="B101" s="130">
        <v>92</v>
      </c>
      <c r="C101" s="77" t="s">
        <v>180</v>
      </c>
      <c r="D101" s="41">
        <f t="shared" si="7"/>
        <v>3874044</v>
      </c>
      <c r="E101" s="53">
        <f t="shared" si="8"/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2</v>
      </c>
      <c r="M101" s="41">
        <v>3874044</v>
      </c>
      <c r="N101" s="53">
        <v>0</v>
      </c>
      <c r="O101" s="53">
        <v>0</v>
      </c>
      <c r="P101" s="80">
        <v>0</v>
      </c>
      <c r="Q101" s="53">
        <v>0</v>
      </c>
      <c r="R101" s="80">
        <v>0</v>
      </c>
      <c r="S101" s="53">
        <v>0</v>
      </c>
      <c r="T101" s="54">
        <v>0</v>
      </c>
      <c r="U101" s="167">
        <v>0</v>
      </c>
      <c r="V101" s="61"/>
      <c r="W101" s="61"/>
      <c r="X101" s="61"/>
    </row>
    <row r="102" spans="2:24" s="19" customFormat="1" ht="15" customHeight="1" x14ac:dyDescent="0.25">
      <c r="B102" s="130">
        <v>93</v>
      </c>
      <c r="C102" s="77" t="s">
        <v>181</v>
      </c>
      <c r="D102" s="41">
        <f t="shared" si="7"/>
        <v>1945834</v>
      </c>
      <c r="E102" s="53">
        <f t="shared" si="8"/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1</v>
      </c>
      <c r="M102" s="41">
        <v>1945834</v>
      </c>
      <c r="N102" s="53">
        <v>0</v>
      </c>
      <c r="O102" s="53">
        <v>0</v>
      </c>
      <c r="P102" s="80">
        <v>0</v>
      </c>
      <c r="Q102" s="53">
        <v>0</v>
      </c>
      <c r="R102" s="80">
        <v>0</v>
      </c>
      <c r="S102" s="53">
        <v>0</v>
      </c>
      <c r="T102" s="54">
        <v>0</v>
      </c>
      <c r="U102" s="167">
        <v>0</v>
      </c>
      <c r="V102" s="61"/>
      <c r="W102" s="61"/>
      <c r="X102" s="61"/>
    </row>
    <row r="103" spans="2:24" s="19" customFormat="1" ht="15" customHeight="1" x14ac:dyDescent="0.25">
      <c r="B103" s="130">
        <v>94</v>
      </c>
      <c r="C103" s="77" t="s">
        <v>183</v>
      </c>
      <c r="D103" s="41">
        <f t="shared" si="7"/>
        <v>1944466</v>
      </c>
      <c r="E103" s="53">
        <f t="shared" si="8"/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1</v>
      </c>
      <c r="M103" s="41">
        <v>1944466</v>
      </c>
      <c r="N103" s="53">
        <v>0</v>
      </c>
      <c r="O103" s="53">
        <v>0</v>
      </c>
      <c r="P103" s="80">
        <v>0</v>
      </c>
      <c r="Q103" s="53">
        <v>0</v>
      </c>
      <c r="R103" s="80">
        <v>0</v>
      </c>
      <c r="S103" s="53">
        <v>0</v>
      </c>
      <c r="T103" s="54">
        <v>0</v>
      </c>
      <c r="U103" s="167">
        <v>0</v>
      </c>
      <c r="V103" s="61"/>
      <c r="W103" s="61"/>
      <c r="X103" s="61"/>
    </row>
    <row r="104" spans="2:24" s="19" customFormat="1" ht="15" customHeight="1" x14ac:dyDescent="0.25">
      <c r="B104" s="130">
        <v>95</v>
      </c>
      <c r="C104" s="77" t="s">
        <v>184</v>
      </c>
      <c r="D104" s="41">
        <f t="shared" si="7"/>
        <v>3871107</v>
      </c>
      <c r="E104" s="53">
        <f t="shared" si="8"/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2</v>
      </c>
      <c r="M104" s="41">
        <v>3871107</v>
      </c>
      <c r="N104" s="53">
        <v>0</v>
      </c>
      <c r="O104" s="53">
        <v>0</v>
      </c>
      <c r="P104" s="80">
        <v>0</v>
      </c>
      <c r="Q104" s="53">
        <v>0</v>
      </c>
      <c r="R104" s="80">
        <v>0</v>
      </c>
      <c r="S104" s="53">
        <v>0</v>
      </c>
      <c r="T104" s="54">
        <v>0</v>
      </c>
      <c r="U104" s="167">
        <v>0</v>
      </c>
      <c r="V104" s="61"/>
      <c r="W104" s="61"/>
      <c r="X104" s="61"/>
    </row>
    <row r="105" spans="2:24" s="19" customFormat="1" ht="15" customHeight="1" x14ac:dyDescent="0.25">
      <c r="B105" s="130">
        <v>96</v>
      </c>
      <c r="C105" s="77" t="s">
        <v>185</v>
      </c>
      <c r="D105" s="41">
        <f t="shared" si="7"/>
        <v>5807737</v>
      </c>
      <c r="E105" s="53">
        <f t="shared" si="8"/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3</v>
      </c>
      <c r="M105" s="41">
        <v>5807737</v>
      </c>
      <c r="N105" s="53">
        <v>0</v>
      </c>
      <c r="O105" s="53">
        <v>0</v>
      </c>
      <c r="P105" s="80">
        <v>0</v>
      </c>
      <c r="Q105" s="53">
        <v>0</v>
      </c>
      <c r="R105" s="80">
        <v>0</v>
      </c>
      <c r="S105" s="53">
        <v>0</v>
      </c>
      <c r="T105" s="54">
        <v>0</v>
      </c>
      <c r="U105" s="167">
        <v>0</v>
      </c>
      <c r="V105" s="61"/>
      <c r="W105" s="61"/>
      <c r="X105" s="61"/>
    </row>
    <row r="106" spans="2:24" s="19" customFormat="1" ht="15" customHeight="1" x14ac:dyDescent="0.25">
      <c r="B106" s="130">
        <v>97</v>
      </c>
      <c r="C106" s="77" t="s">
        <v>186</v>
      </c>
      <c r="D106" s="41">
        <f t="shared" si="7"/>
        <v>3888250</v>
      </c>
      <c r="E106" s="53">
        <f t="shared" si="8"/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2</v>
      </c>
      <c r="M106" s="41">
        <v>3888250</v>
      </c>
      <c r="N106" s="53">
        <v>0</v>
      </c>
      <c r="O106" s="53">
        <v>0</v>
      </c>
      <c r="P106" s="80">
        <v>0</v>
      </c>
      <c r="Q106" s="53">
        <v>0</v>
      </c>
      <c r="R106" s="80">
        <v>0</v>
      </c>
      <c r="S106" s="53">
        <v>0</v>
      </c>
      <c r="T106" s="54">
        <v>0</v>
      </c>
      <c r="U106" s="167">
        <v>0</v>
      </c>
      <c r="V106" s="61"/>
      <c r="W106" s="61"/>
      <c r="X106" s="61"/>
    </row>
    <row r="107" spans="2:24" s="19" customFormat="1" ht="15" customHeight="1" x14ac:dyDescent="0.25">
      <c r="B107" s="130">
        <v>98</v>
      </c>
      <c r="C107" s="77" t="s">
        <v>187</v>
      </c>
      <c r="D107" s="41">
        <f t="shared" si="7"/>
        <v>1936760</v>
      </c>
      <c r="E107" s="53">
        <f t="shared" si="8"/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1</v>
      </c>
      <c r="M107" s="41">
        <v>1936760</v>
      </c>
      <c r="N107" s="53">
        <v>0</v>
      </c>
      <c r="O107" s="53">
        <v>0</v>
      </c>
      <c r="P107" s="80">
        <v>0</v>
      </c>
      <c r="Q107" s="53">
        <v>0</v>
      </c>
      <c r="R107" s="80">
        <v>0</v>
      </c>
      <c r="S107" s="53">
        <v>0</v>
      </c>
      <c r="T107" s="54">
        <v>0</v>
      </c>
      <c r="U107" s="167">
        <v>0</v>
      </c>
      <c r="V107" s="61"/>
      <c r="W107" s="61"/>
      <c r="X107" s="61"/>
    </row>
    <row r="108" spans="2:24" s="19" customFormat="1" ht="15" customHeight="1" x14ac:dyDescent="0.25">
      <c r="B108" s="130">
        <v>99</v>
      </c>
      <c r="C108" s="77" t="s">
        <v>188</v>
      </c>
      <c r="D108" s="41">
        <f t="shared" si="7"/>
        <v>5807744</v>
      </c>
      <c r="E108" s="53">
        <f t="shared" si="8"/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3</v>
      </c>
      <c r="M108" s="41">
        <v>5807744</v>
      </c>
      <c r="N108" s="53">
        <v>0</v>
      </c>
      <c r="O108" s="53">
        <v>0</v>
      </c>
      <c r="P108" s="80">
        <v>0</v>
      </c>
      <c r="Q108" s="53">
        <v>0</v>
      </c>
      <c r="R108" s="80">
        <v>0</v>
      </c>
      <c r="S108" s="53">
        <v>0</v>
      </c>
      <c r="T108" s="54">
        <v>0</v>
      </c>
      <c r="U108" s="167">
        <v>0</v>
      </c>
      <c r="V108" s="61"/>
      <c r="W108" s="61"/>
      <c r="X108" s="61"/>
    </row>
    <row r="109" spans="2:24" s="19" customFormat="1" ht="15" customHeight="1" x14ac:dyDescent="0.25">
      <c r="B109" s="130">
        <v>100</v>
      </c>
      <c r="C109" s="77" t="s">
        <v>189</v>
      </c>
      <c r="D109" s="41">
        <f t="shared" si="7"/>
        <v>5805894</v>
      </c>
      <c r="E109" s="53">
        <f t="shared" si="8"/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3</v>
      </c>
      <c r="M109" s="41">
        <v>5805894</v>
      </c>
      <c r="N109" s="53">
        <v>0</v>
      </c>
      <c r="O109" s="53">
        <v>0</v>
      </c>
      <c r="P109" s="80">
        <v>0</v>
      </c>
      <c r="Q109" s="53">
        <v>0</v>
      </c>
      <c r="R109" s="80">
        <v>0</v>
      </c>
      <c r="S109" s="53">
        <v>0</v>
      </c>
      <c r="T109" s="54">
        <v>0</v>
      </c>
      <c r="U109" s="167">
        <v>0</v>
      </c>
      <c r="V109" s="61"/>
      <c r="W109" s="61"/>
      <c r="X109" s="61"/>
    </row>
    <row r="110" spans="2:24" s="19" customFormat="1" ht="15" customHeight="1" x14ac:dyDescent="0.25">
      <c r="B110" s="130">
        <v>101</v>
      </c>
      <c r="C110" s="77" t="s">
        <v>190</v>
      </c>
      <c r="D110" s="41">
        <f t="shared" si="7"/>
        <v>1941966</v>
      </c>
      <c r="E110" s="53">
        <f t="shared" si="8"/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1</v>
      </c>
      <c r="M110" s="41">
        <v>1941966</v>
      </c>
      <c r="N110" s="53">
        <v>0</v>
      </c>
      <c r="O110" s="53">
        <v>0</v>
      </c>
      <c r="P110" s="80">
        <v>0</v>
      </c>
      <c r="Q110" s="53">
        <v>0</v>
      </c>
      <c r="R110" s="80">
        <v>0</v>
      </c>
      <c r="S110" s="53">
        <v>0</v>
      </c>
      <c r="T110" s="54">
        <v>0</v>
      </c>
      <c r="U110" s="167">
        <v>0</v>
      </c>
      <c r="V110" s="61"/>
      <c r="W110" s="61"/>
      <c r="X110" s="61"/>
    </row>
    <row r="111" spans="2:24" s="19" customFormat="1" ht="15" customHeight="1" x14ac:dyDescent="0.25">
      <c r="B111" s="130">
        <v>102</v>
      </c>
      <c r="C111" s="77" t="s">
        <v>191</v>
      </c>
      <c r="D111" s="41">
        <f t="shared" si="7"/>
        <v>3866971</v>
      </c>
      <c r="E111" s="53">
        <f t="shared" si="8"/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2</v>
      </c>
      <c r="M111" s="41">
        <v>3866971</v>
      </c>
      <c r="N111" s="53">
        <v>0</v>
      </c>
      <c r="O111" s="53">
        <v>0</v>
      </c>
      <c r="P111" s="80">
        <v>0</v>
      </c>
      <c r="Q111" s="53">
        <v>0</v>
      </c>
      <c r="R111" s="80">
        <v>0</v>
      </c>
      <c r="S111" s="53">
        <v>0</v>
      </c>
      <c r="T111" s="54">
        <v>0</v>
      </c>
      <c r="U111" s="167">
        <v>0</v>
      </c>
      <c r="V111" s="61"/>
      <c r="W111" s="61"/>
      <c r="X111" s="61"/>
    </row>
    <row r="112" spans="2:24" s="19" customFormat="1" ht="15" customHeight="1" x14ac:dyDescent="0.25">
      <c r="B112" s="130">
        <v>103</v>
      </c>
      <c r="C112" s="77" t="s">
        <v>192</v>
      </c>
      <c r="D112" s="41">
        <f t="shared" si="7"/>
        <v>3903015</v>
      </c>
      <c r="E112" s="53">
        <f t="shared" si="8"/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2</v>
      </c>
      <c r="M112" s="41">
        <v>3903015</v>
      </c>
      <c r="N112" s="53">
        <v>0</v>
      </c>
      <c r="O112" s="53">
        <v>0</v>
      </c>
      <c r="P112" s="80">
        <v>0</v>
      </c>
      <c r="Q112" s="53">
        <v>0</v>
      </c>
      <c r="R112" s="80">
        <v>0</v>
      </c>
      <c r="S112" s="53">
        <v>0</v>
      </c>
      <c r="T112" s="54">
        <v>0</v>
      </c>
      <c r="U112" s="167">
        <v>0</v>
      </c>
      <c r="V112" s="61"/>
      <c r="W112" s="61"/>
      <c r="X112" s="61"/>
    </row>
    <row r="113" spans="2:24" s="19" customFormat="1" ht="15" customHeight="1" x14ac:dyDescent="0.25">
      <c r="B113" s="130">
        <v>104</v>
      </c>
      <c r="C113" s="77" t="s">
        <v>193</v>
      </c>
      <c r="D113" s="41">
        <f t="shared" si="7"/>
        <v>1941930</v>
      </c>
      <c r="E113" s="53">
        <f t="shared" si="8"/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1</v>
      </c>
      <c r="M113" s="41">
        <v>1941930</v>
      </c>
      <c r="N113" s="53">
        <v>0</v>
      </c>
      <c r="O113" s="53">
        <v>0</v>
      </c>
      <c r="P113" s="80">
        <v>0</v>
      </c>
      <c r="Q113" s="53">
        <v>0</v>
      </c>
      <c r="R113" s="80">
        <v>0</v>
      </c>
      <c r="S113" s="53">
        <v>0</v>
      </c>
      <c r="T113" s="54">
        <v>0</v>
      </c>
      <c r="U113" s="167">
        <v>0</v>
      </c>
      <c r="V113" s="61"/>
      <c r="W113" s="61"/>
      <c r="X113" s="61"/>
    </row>
    <row r="114" spans="2:24" s="19" customFormat="1" ht="15" customHeight="1" x14ac:dyDescent="0.25">
      <c r="B114" s="130">
        <v>105</v>
      </c>
      <c r="C114" s="77" t="s">
        <v>194</v>
      </c>
      <c r="D114" s="41">
        <f t="shared" si="7"/>
        <v>7761296</v>
      </c>
      <c r="E114" s="53">
        <f t="shared" si="8"/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4</v>
      </c>
      <c r="M114" s="41">
        <v>7761296</v>
      </c>
      <c r="N114" s="53">
        <v>0</v>
      </c>
      <c r="O114" s="53">
        <v>0</v>
      </c>
      <c r="P114" s="80">
        <v>0</v>
      </c>
      <c r="Q114" s="53">
        <v>0</v>
      </c>
      <c r="R114" s="80">
        <v>0</v>
      </c>
      <c r="S114" s="53">
        <v>0</v>
      </c>
      <c r="T114" s="54">
        <v>0</v>
      </c>
      <c r="U114" s="167">
        <v>0</v>
      </c>
      <c r="V114" s="61"/>
      <c r="W114" s="61"/>
      <c r="X114" s="61"/>
    </row>
    <row r="115" spans="2:24" s="19" customFormat="1" ht="15" customHeight="1" x14ac:dyDescent="0.25">
      <c r="B115" s="130">
        <v>106</v>
      </c>
      <c r="C115" s="77" t="s">
        <v>195</v>
      </c>
      <c r="D115" s="41">
        <f t="shared" si="7"/>
        <v>5815343</v>
      </c>
      <c r="E115" s="53">
        <f t="shared" si="8"/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3</v>
      </c>
      <c r="M115" s="41">
        <v>5815343</v>
      </c>
      <c r="N115" s="53">
        <v>0</v>
      </c>
      <c r="O115" s="53">
        <v>0</v>
      </c>
      <c r="P115" s="80">
        <v>0</v>
      </c>
      <c r="Q115" s="53">
        <v>0</v>
      </c>
      <c r="R115" s="80">
        <v>0</v>
      </c>
      <c r="S115" s="53">
        <v>0</v>
      </c>
      <c r="T115" s="54">
        <v>0</v>
      </c>
      <c r="U115" s="167">
        <v>0</v>
      </c>
      <c r="V115" s="61"/>
      <c r="W115" s="61"/>
      <c r="X115" s="61"/>
    </row>
    <row r="116" spans="2:24" s="19" customFormat="1" ht="15" customHeight="1" x14ac:dyDescent="0.25">
      <c r="B116" s="130">
        <v>107</v>
      </c>
      <c r="C116" s="77" t="s">
        <v>197</v>
      </c>
      <c r="D116" s="41">
        <f t="shared" si="7"/>
        <v>9762734</v>
      </c>
      <c r="E116" s="53">
        <f t="shared" si="8"/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5</v>
      </c>
      <c r="M116" s="41">
        <v>9762734</v>
      </c>
      <c r="N116" s="53">
        <v>0</v>
      </c>
      <c r="O116" s="53">
        <v>0</v>
      </c>
      <c r="P116" s="80">
        <v>0</v>
      </c>
      <c r="Q116" s="53">
        <v>0</v>
      </c>
      <c r="R116" s="80">
        <v>0</v>
      </c>
      <c r="S116" s="53">
        <v>0</v>
      </c>
      <c r="T116" s="54">
        <v>0</v>
      </c>
      <c r="U116" s="167">
        <v>0</v>
      </c>
      <c r="V116" s="61"/>
      <c r="W116" s="61"/>
      <c r="X116" s="61"/>
    </row>
    <row r="117" spans="2:24" s="19" customFormat="1" ht="15" customHeight="1" x14ac:dyDescent="0.25">
      <c r="B117" s="130">
        <v>108</v>
      </c>
      <c r="C117" s="77" t="s">
        <v>198</v>
      </c>
      <c r="D117" s="41">
        <f t="shared" si="7"/>
        <v>9724519</v>
      </c>
      <c r="E117" s="53">
        <f t="shared" si="8"/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5</v>
      </c>
      <c r="M117" s="41">
        <v>9724519</v>
      </c>
      <c r="N117" s="53">
        <v>0</v>
      </c>
      <c r="O117" s="53">
        <v>0</v>
      </c>
      <c r="P117" s="80">
        <v>0</v>
      </c>
      <c r="Q117" s="53">
        <v>0</v>
      </c>
      <c r="R117" s="80">
        <v>0</v>
      </c>
      <c r="S117" s="53">
        <v>0</v>
      </c>
      <c r="T117" s="54">
        <v>0</v>
      </c>
      <c r="U117" s="167">
        <v>0</v>
      </c>
      <c r="V117" s="61"/>
      <c r="W117" s="61"/>
      <c r="X117" s="61"/>
    </row>
    <row r="118" spans="2:24" s="19" customFormat="1" ht="15" customHeight="1" x14ac:dyDescent="0.25">
      <c r="B118" s="130">
        <v>109</v>
      </c>
      <c r="C118" s="77" t="s">
        <v>199</v>
      </c>
      <c r="D118" s="41">
        <f t="shared" si="7"/>
        <v>9744931</v>
      </c>
      <c r="E118" s="53">
        <f t="shared" si="8"/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5</v>
      </c>
      <c r="M118" s="41">
        <v>9744931</v>
      </c>
      <c r="N118" s="53">
        <v>0</v>
      </c>
      <c r="O118" s="53">
        <v>0</v>
      </c>
      <c r="P118" s="80">
        <v>0</v>
      </c>
      <c r="Q118" s="53">
        <v>0</v>
      </c>
      <c r="R118" s="80">
        <v>0</v>
      </c>
      <c r="S118" s="53">
        <v>0</v>
      </c>
      <c r="T118" s="54">
        <v>0</v>
      </c>
      <c r="U118" s="167">
        <v>0</v>
      </c>
      <c r="V118" s="61"/>
      <c r="W118" s="61"/>
      <c r="X118" s="61"/>
    </row>
    <row r="119" spans="2:24" s="19" customFormat="1" ht="15" customHeight="1" x14ac:dyDescent="0.25">
      <c r="B119" s="130">
        <v>110</v>
      </c>
      <c r="C119" s="77" t="s">
        <v>200</v>
      </c>
      <c r="D119" s="41">
        <f t="shared" si="7"/>
        <v>19721062</v>
      </c>
      <c r="E119" s="53">
        <f t="shared" si="8"/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10</v>
      </c>
      <c r="M119" s="41">
        <v>19721062</v>
      </c>
      <c r="N119" s="53">
        <v>0</v>
      </c>
      <c r="O119" s="53">
        <v>0</v>
      </c>
      <c r="P119" s="80">
        <v>0</v>
      </c>
      <c r="Q119" s="53">
        <v>0</v>
      </c>
      <c r="R119" s="80">
        <v>0</v>
      </c>
      <c r="S119" s="53">
        <v>0</v>
      </c>
      <c r="T119" s="54">
        <v>0</v>
      </c>
      <c r="U119" s="167">
        <v>0</v>
      </c>
      <c r="V119" s="61"/>
      <c r="W119" s="61"/>
      <c r="X119" s="61"/>
    </row>
    <row r="120" spans="2:24" s="19" customFormat="1" ht="15" customHeight="1" x14ac:dyDescent="0.25">
      <c r="B120" s="130">
        <v>111</v>
      </c>
      <c r="C120" s="77" t="s">
        <v>201</v>
      </c>
      <c r="D120" s="41">
        <f t="shared" si="7"/>
        <v>7760004</v>
      </c>
      <c r="E120" s="53">
        <f t="shared" si="8"/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4</v>
      </c>
      <c r="M120" s="41">
        <v>7760004</v>
      </c>
      <c r="N120" s="53">
        <v>0</v>
      </c>
      <c r="O120" s="53">
        <v>0</v>
      </c>
      <c r="P120" s="80">
        <v>0</v>
      </c>
      <c r="Q120" s="53">
        <v>0</v>
      </c>
      <c r="R120" s="80">
        <v>0</v>
      </c>
      <c r="S120" s="53">
        <v>0</v>
      </c>
      <c r="T120" s="54">
        <v>0</v>
      </c>
      <c r="U120" s="167">
        <v>0</v>
      </c>
      <c r="V120" s="61"/>
      <c r="W120" s="61"/>
      <c r="X120" s="61"/>
    </row>
    <row r="121" spans="2:24" s="19" customFormat="1" ht="15" customHeight="1" x14ac:dyDescent="0.25">
      <c r="B121" s="130">
        <v>112</v>
      </c>
      <c r="C121" s="17" t="s">
        <v>202</v>
      </c>
      <c r="D121" s="41">
        <f t="shared" si="7"/>
        <v>733450</v>
      </c>
      <c r="E121" s="53">
        <f t="shared" si="8"/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106">
        <v>0</v>
      </c>
      <c r="M121" s="53">
        <v>0</v>
      </c>
      <c r="N121" s="53">
        <v>807.5</v>
      </c>
      <c r="O121" s="53">
        <v>733450</v>
      </c>
      <c r="P121" s="80">
        <v>0</v>
      </c>
      <c r="Q121" s="53">
        <v>0</v>
      </c>
      <c r="R121" s="80">
        <v>0</v>
      </c>
      <c r="S121" s="53">
        <v>0</v>
      </c>
      <c r="T121" s="54">
        <v>0</v>
      </c>
      <c r="U121" s="167">
        <v>0</v>
      </c>
      <c r="V121" s="61"/>
      <c r="W121" s="61"/>
      <c r="X121" s="61"/>
    </row>
    <row r="122" spans="2:24" s="19" customFormat="1" ht="15" customHeight="1" x14ac:dyDescent="0.25">
      <c r="B122" s="130">
        <v>113</v>
      </c>
      <c r="C122" s="17" t="s">
        <v>215</v>
      </c>
      <c r="D122" s="41">
        <f t="shared" si="7"/>
        <v>436000</v>
      </c>
      <c r="E122" s="53">
        <f t="shared" si="8"/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106">
        <v>0</v>
      </c>
      <c r="M122" s="53">
        <v>0</v>
      </c>
      <c r="N122" s="53">
        <v>0</v>
      </c>
      <c r="O122" s="53">
        <v>0</v>
      </c>
      <c r="P122" s="80">
        <v>0</v>
      </c>
      <c r="Q122" s="41">
        <v>0</v>
      </c>
      <c r="R122" s="80">
        <v>793.5</v>
      </c>
      <c r="S122" s="41">
        <v>436000</v>
      </c>
      <c r="T122" s="54">
        <v>0</v>
      </c>
      <c r="U122" s="167">
        <v>0</v>
      </c>
      <c r="V122" s="61"/>
      <c r="W122" s="61"/>
      <c r="X122" s="61"/>
    </row>
    <row r="123" spans="2:24" s="19" customFormat="1" ht="15" customHeight="1" x14ac:dyDescent="0.25">
      <c r="B123" s="130">
        <v>114</v>
      </c>
      <c r="C123" s="187" t="s">
        <v>386</v>
      </c>
      <c r="D123" s="41">
        <f t="shared" si="7"/>
        <v>849157</v>
      </c>
      <c r="E123" s="53">
        <f t="shared" si="8"/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106">
        <v>0</v>
      </c>
      <c r="M123" s="53">
        <v>0</v>
      </c>
      <c r="N123" s="53">
        <v>953</v>
      </c>
      <c r="O123" s="53">
        <v>759966</v>
      </c>
      <c r="P123" s="80">
        <v>0</v>
      </c>
      <c r="Q123" s="41">
        <v>0</v>
      </c>
      <c r="R123" s="80">
        <v>2400</v>
      </c>
      <c r="S123" s="41">
        <v>89191</v>
      </c>
      <c r="T123" s="54">
        <v>0</v>
      </c>
      <c r="U123" s="167">
        <v>0</v>
      </c>
      <c r="V123" s="61"/>
      <c r="W123" s="61"/>
      <c r="X123" s="61"/>
    </row>
    <row r="124" spans="2:24" s="19" customFormat="1" ht="15" customHeight="1" x14ac:dyDescent="0.25">
      <c r="B124" s="130">
        <v>115</v>
      </c>
      <c r="C124" s="187" t="s">
        <v>387</v>
      </c>
      <c r="D124" s="41">
        <f t="shared" si="7"/>
        <v>186419.9</v>
      </c>
      <c r="E124" s="53">
        <f t="shared" si="8"/>
        <v>186419.9</v>
      </c>
      <c r="F124" s="53">
        <v>0</v>
      </c>
      <c r="G124" s="53">
        <v>186419.9</v>
      </c>
      <c r="H124" s="53">
        <v>0</v>
      </c>
      <c r="I124" s="53">
        <v>0</v>
      </c>
      <c r="J124" s="53">
        <v>0</v>
      </c>
      <c r="K124" s="53">
        <v>0</v>
      </c>
      <c r="L124" s="106">
        <v>0</v>
      </c>
      <c r="M124" s="53">
        <v>0</v>
      </c>
      <c r="N124" s="53">
        <v>0</v>
      </c>
      <c r="O124" s="53">
        <v>0</v>
      </c>
      <c r="P124" s="80">
        <v>0</v>
      </c>
      <c r="Q124" s="41">
        <v>0</v>
      </c>
      <c r="R124" s="80">
        <v>0</v>
      </c>
      <c r="S124" s="41">
        <v>0</v>
      </c>
      <c r="T124" s="54">
        <v>0</v>
      </c>
      <c r="U124" s="167">
        <v>0</v>
      </c>
      <c r="V124" s="61"/>
      <c r="W124" s="61"/>
      <c r="X124" s="61"/>
    </row>
    <row r="125" spans="2:24" s="19" customFormat="1" ht="15" customHeight="1" x14ac:dyDescent="0.25">
      <c r="B125" s="130">
        <v>116</v>
      </c>
      <c r="C125" s="187" t="s">
        <v>389</v>
      </c>
      <c r="D125" s="41">
        <f t="shared" si="7"/>
        <v>1377985.86</v>
      </c>
      <c r="E125" s="53">
        <f t="shared" si="8"/>
        <v>1377985.86</v>
      </c>
      <c r="F125" s="53">
        <v>0</v>
      </c>
      <c r="G125" s="53">
        <v>0</v>
      </c>
      <c r="H125" s="53">
        <v>0</v>
      </c>
      <c r="I125" s="53">
        <v>445828.67</v>
      </c>
      <c r="J125" s="53">
        <v>635371.42000000004</v>
      </c>
      <c r="K125" s="53">
        <v>296785.77</v>
      </c>
      <c r="L125" s="106">
        <v>0</v>
      </c>
      <c r="M125" s="53">
        <v>0</v>
      </c>
      <c r="N125" s="53">
        <v>0</v>
      </c>
      <c r="O125" s="53">
        <v>0</v>
      </c>
      <c r="P125" s="80">
        <v>0</v>
      </c>
      <c r="Q125" s="41">
        <v>0</v>
      </c>
      <c r="R125" s="80">
        <v>0</v>
      </c>
      <c r="S125" s="41">
        <v>0</v>
      </c>
      <c r="T125" s="54">
        <v>0</v>
      </c>
      <c r="U125" s="167">
        <v>0</v>
      </c>
      <c r="V125" s="61"/>
      <c r="W125" s="61"/>
      <c r="X125" s="61"/>
    </row>
    <row r="126" spans="2:24" s="19" customFormat="1" ht="15" customHeight="1" x14ac:dyDescent="0.25">
      <c r="B126" s="130">
        <v>117</v>
      </c>
      <c r="C126" s="187" t="s">
        <v>391</v>
      </c>
      <c r="D126" s="41">
        <f t="shared" si="7"/>
        <v>1014354.36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106">
        <v>0</v>
      </c>
      <c r="M126" s="53">
        <v>0</v>
      </c>
      <c r="N126" s="53">
        <v>398.8</v>
      </c>
      <c r="O126" s="53">
        <v>1014354.36</v>
      </c>
      <c r="P126" s="80">
        <v>0</v>
      </c>
      <c r="Q126" s="41">
        <v>0</v>
      </c>
      <c r="R126" s="80">
        <v>0</v>
      </c>
      <c r="S126" s="41">
        <v>0</v>
      </c>
      <c r="T126" s="54">
        <v>0</v>
      </c>
      <c r="U126" s="167">
        <v>0</v>
      </c>
      <c r="V126" s="61"/>
      <c r="W126" s="61"/>
      <c r="X126" s="61"/>
    </row>
    <row r="127" spans="2:24" s="19" customFormat="1" ht="15" customHeight="1" x14ac:dyDescent="0.25">
      <c r="B127" s="130">
        <v>118</v>
      </c>
      <c r="C127" s="158" t="s">
        <v>395</v>
      </c>
      <c r="D127" s="41">
        <f t="shared" si="7"/>
        <v>657500</v>
      </c>
      <c r="E127" s="53"/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106">
        <v>0</v>
      </c>
      <c r="M127" s="53">
        <v>0</v>
      </c>
      <c r="N127" s="53">
        <v>0</v>
      </c>
      <c r="O127" s="53">
        <v>0</v>
      </c>
      <c r="P127" s="80">
        <v>0</v>
      </c>
      <c r="Q127" s="41">
        <v>0</v>
      </c>
      <c r="R127" s="80">
        <v>1430</v>
      </c>
      <c r="S127" s="41">
        <v>657500</v>
      </c>
      <c r="T127" s="54">
        <v>0</v>
      </c>
      <c r="U127" s="167">
        <v>0</v>
      </c>
      <c r="V127" s="61"/>
      <c r="W127" s="61"/>
      <c r="X127" s="61"/>
    </row>
    <row r="128" spans="2:24" s="19" customFormat="1" ht="15" customHeight="1" thickBot="1" x14ac:dyDescent="0.3">
      <c r="B128" s="59">
        <v>119</v>
      </c>
      <c r="C128" s="193" t="s">
        <v>397</v>
      </c>
      <c r="D128" s="83">
        <f t="shared" si="7"/>
        <v>1120312</v>
      </c>
      <c r="E128" s="84">
        <v>0</v>
      </c>
      <c r="F128" s="84">
        <v>0</v>
      </c>
      <c r="G128" s="84">
        <v>0</v>
      </c>
      <c r="H128" s="84">
        <v>0</v>
      </c>
      <c r="I128" s="84">
        <v>0</v>
      </c>
      <c r="J128" s="84">
        <v>0</v>
      </c>
      <c r="K128" s="84">
        <v>0</v>
      </c>
      <c r="L128" s="168">
        <v>0</v>
      </c>
      <c r="M128" s="84">
        <v>0</v>
      </c>
      <c r="N128" s="84">
        <v>731</v>
      </c>
      <c r="O128" s="84">
        <v>1120312</v>
      </c>
      <c r="P128" s="118">
        <v>0</v>
      </c>
      <c r="Q128" s="83">
        <v>0</v>
      </c>
      <c r="R128" s="118">
        <v>0</v>
      </c>
      <c r="S128" s="83">
        <v>0</v>
      </c>
      <c r="T128" s="85">
        <v>0</v>
      </c>
      <c r="U128" s="111">
        <v>0</v>
      </c>
      <c r="V128" s="61"/>
      <c r="W128" s="61"/>
      <c r="X128" s="61"/>
    </row>
    <row r="129" spans="2:24" s="19" customFormat="1" ht="30.75" customHeight="1" thickBot="1" x14ac:dyDescent="0.3">
      <c r="B129" s="236" t="s">
        <v>152</v>
      </c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61"/>
      <c r="W129" s="61"/>
      <c r="X129" s="61"/>
    </row>
    <row r="130" spans="2:24" s="19" customFormat="1" ht="29.25" customHeight="1" x14ac:dyDescent="0.25">
      <c r="B130" s="128" t="s">
        <v>211</v>
      </c>
      <c r="C130" s="129"/>
      <c r="D130" s="51">
        <f>E130+M130+O130+Q130+S130+U130</f>
        <v>829484620</v>
      </c>
      <c r="E130" s="52">
        <f t="shared" ref="E130:U130" si="9">SUM(E131:E303)</f>
        <v>224262555</v>
      </c>
      <c r="F130" s="52">
        <f t="shared" si="9"/>
        <v>58113290</v>
      </c>
      <c r="G130" s="52">
        <f t="shared" si="9"/>
        <v>48768494</v>
      </c>
      <c r="H130" s="52">
        <f t="shared" si="9"/>
        <v>2633459</v>
      </c>
      <c r="I130" s="52">
        <f t="shared" si="9"/>
        <v>55763416</v>
      </c>
      <c r="J130" s="52">
        <f t="shared" si="9"/>
        <v>37018291</v>
      </c>
      <c r="K130" s="52">
        <f t="shared" si="9"/>
        <v>21965605</v>
      </c>
      <c r="L130" s="52">
        <f t="shared" si="9"/>
        <v>129</v>
      </c>
      <c r="M130" s="52">
        <f t="shared" si="9"/>
        <v>256264923</v>
      </c>
      <c r="N130" s="52">
        <f t="shared" si="9"/>
        <v>96244.079999999973</v>
      </c>
      <c r="O130" s="52">
        <f t="shared" si="9"/>
        <v>256093131</v>
      </c>
      <c r="P130" s="52">
        <f t="shared" si="9"/>
        <v>4179.3</v>
      </c>
      <c r="Q130" s="52">
        <f t="shared" si="9"/>
        <v>3800926</v>
      </c>
      <c r="R130" s="52">
        <f t="shared" si="9"/>
        <v>59620.639999999999</v>
      </c>
      <c r="S130" s="52">
        <f t="shared" si="9"/>
        <v>89063085</v>
      </c>
      <c r="T130" s="52">
        <f t="shared" si="9"/>
        <v>0</v>
      </c>
      <c r="U130" s="119">
        <f t="shared" si="9"/>
        <v>0</v>
      </c>
      <c r="V130" s="61"/>
      <c r="W130" s="61"/>
      <c r="X130" s="61"/>
    </row>
    <row r="131" spans="2:24" s="44" customFormat="1" x14ac:dyDescent="0.25">
      <c r="B131" s="89">
        <v>1</v>
      </c>
      <c r="C131" s="160" t="s">
        <v>219</v>
      </c>
      <c r="D131" s="41">
        <f t="shared" ref="D131:D196" si="10">E131+M131+O131+Q131+S131+U131</f>
        <v>8113601</v>
      </c>
      <c r="E131" s="53">
        <f t="shared" ref="E131:E193" si="11">SUM(F131:K131)</f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3</v>
      </c>
      <c r="M131" s="41">
        <v>5875694</v>
      </c>
      <c r="N131" s="53">
        <v>885.4</v>
      </c>
      <c r="O131" s="53">
        <v>2237907</v>
      </c>
      <c r="P131" s="80">
        <v>0</v>
      </c>
      <c r="Q131" s="53">
        <v>0</v>
      </c>
      <c r="R131" s="80">
        <v>0</v>
      </c>
      <c r="S131" s="53">
        <v>0</v>
      </c>
      <c r="T131" s="54">
        <v>0</v>
      </c>
      <c r="U131" s="167">
        <v>0</v>
      </c>
    </row>
    <row r="132" spans="2:24" s="44" customFormat="1" x14ac:dyDescent="0.25">
      <c r="B132" s="91">
        <v>2</v>
      </c>
      <c r="C132" s="160" t="s">
        <v>220</v>
      </c>
      <c r="D132" s="41">
        <f t="shared" si="10"/>
        <v>4268880</v>
      </c>
      <c r="E132" s="53">
        <f t="shared" si="11"/>
        <v>4268880</v>
      </c>
      <c r="F132" s="53">
        <v>4268880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  <c r="M132" s="41">
        <v>0</v>
      </c>
      <c r="N132" s="53">
        <v>0</v>
      </c>
      <c r="O132" s="53">
        <v>0</v>
      </c>
      <c r="P132" s="80">
        <v>0</v>
      </c>
      <c r="Q132" s="53">
        <v>0</v>
      </c>
      <c r="R132" s="80">
        <v>0</v>
      </c>
      <c r="S132" s="53">
        <v>0</v>
      </c>
      <c r="T132" s="54">
        <v>0</v>
      </c>
      <c r="U132" s="167">
        <v>0</v>
      </c>
    </row>
    <row r="133" spans="2:24" s="44" customFormat="1" x14ac:dyDescent="0.25">
      <c r="B133" s="91">
        <v>3</v>
      </c>
      <c r="C133" s="160" t="s">
        <v>221</v>
      </c>
      <c r="D133" s="41">
        <f t="shared" si="10"/>
        <v>9089134</v>
      </c>
      <c r="E133" s="53">
        <f t="shared" si="11"/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2</v>
      </c>
      <c r="M133" s="41">
        <v>3949213</v>
      </c>
      <c r="N133" s="53">
        <v>618</v>
      </c>
      <c r="O133" s="53">
        <v>1579789</v>
      </c>
      <c r="P133" s="80">
        <v>0</v>
      </c>
      <c r="Q133" s="53">
        <v>0</v>
      </c>
      <c r="R133" s="80">
        <v>2308.9</v>
      </c>
      <c r="S133" s="53">
        <v>3560132</v>
      </c>
      <c r="T133" s="54">
        <v>0</v>
      </c>
      <c r="U133" s="167">
        <v>0</v>
      </c>
    </row>
    <row r="134" spans="2:24" s="44" customFormat="1" x14ac:dyDescent="0.25">
      <c r="B134" s="89">
        <v>4</v>
      </c>
      <c r="C134" s="160" t="s">
        <v>222</v>
      </c>
      <c r="D134" s="41">
        <f t="shared" si="10"/>
        <v>20469466</v>
      </c>
      <c r="E134" s="53">
        <f t="shared" si="11"/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9</v>
      </c>
      <c r="M134" s="41">
        <v>17928644</v>
      </c>
      <c r="N134" s="53">
        <v>0</v>
      </c>
      <c r="O134" s="53">
        <v>0</v>
      </c>
      <c r="P134" s="80">
        <v>2950</v>
      </c>
      <c r="Q134" s="53">
        <v>2540822</v>
      </c>
      <c r="R134" s="80">
        <v>0</v>
      </c>
      <c r="S134" s="53">
        <v>0</v>
      </c>
      <c r="T134" s="54">
        <v>0</v>
      </c>
      <c r="U134" s="167">
        <v>0</v>
      </c>
    </row>
    <row r="135" spans="2:24" s="44" customFormat="1" x14ac:dyDescent="0.25">
      <c r="B135" s="91">
        <v>5</v>
      </c>
      <c r="C135" s="160" t="s">
        <v>223</v>
      </c>
      <c r="D135" s="41">
        <f t="shared" si="10"/>
        <v>8216566</v>
      </c>
      <c r="E135" s="53">
        <f t="shared" si="11"/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3</v>
      </c>
      <c r="M135" s="41">
        <v>5875555</v>
      </c>
      <c r="N135" s="53">
        <v>927</v>
      </c>
      <c r="O135" s="53">
        <v>2341011</v>
      </c>
      <c r="P135" s="80">
        <v>0</v>
      </c>
      <c r="Q135" s="53">
        <v>0</v>
      </c>
      <c r="R135" s="80">
        <v>0</v>
      </c>
      <c r="S135" s="53">
        <v>0</v>
      </c>
      <c r="T135" s="54">
        <v>0</v>
      </c>
      <c r="U135" s="167">
        <v>0</v>
      </c>
    </row>
    <row r="136" spans="2:24" s="44" customFormat="1" x14ac:dyDescent="0.25">
      <c r="B136" s="89">
        <v>6</v>
      </c>
      <c r="C136" s="160" t="s">
        <v>189</v>
      </c>
      <c r="D136" s="41">
        <f t="shared" si="10"/>
        <v>2695344</v>
      </c>
      <c r="E136" s="53">
        <f t="shared" si="11"/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  <c r="M136" s="41">
        <v>0</v>
      </c>
      <c r="N136" s="53">
        <v>1070</v>
      </c>
      <c r="O136" s="53">
        <v>2695344</v>
      </c>
      <c r="P136" s="80">
        <v>0</v>
      </c>
      <c r="Q136" s="53">
        <v>0</v>
      </c>
      <c r="R136" s="80">
        <v>0</v>
      </c>
      <c r="S136" s="53">
        <v>0</v>
      </c>
      <c r="T136" s="54">
        <v>0</v>
      </c>
      <c r="U136" s="167">
        <v>0</v>
      </c>
    </row>
    <row r="137" spans="2:24" s="44" customFormat="1" x14ac:dyDescent="0.25">
      <c r="B137" s="89">
        <v>7</v>
      </c>
      <c r="C137" s="160" t="s">
        <v>224</v>
      </c>
      <c r="D137" s="41">
        <f t="shared" si="10"/>
        <v>5491877</v>
      </c>
      <c r="E137" s="53">
        <f t="shared" si="11"/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  <c r="M137" s="41">
        <v>0</v>
      </c>
      <c r="N137" s="53">
        <v>2192.4</v>
      </c>
      <c r="O137" s="53">
        <v>5491877</v>
      </c>
      <c r="P137" s="80">
        <v>0</v>
      </c>
      <c r="Q137" s="53">
        <v>0</v>
      </c>
      <c r="R137" s="80">
        <v>0</v>
      </c>
      <c r="S137" s="53">
        <v>0</v>
      </c>
      <c r="T137" s="54">
        <v>0</v>
      </c>
      <c r="U137" s="167">
        <v>0</v>
      </c>
    </row>
    <row r="138" spans="2:24" s="44" customFormat="1" x14ac:dyDescent="0.25">
      <c r="B138" s="91">
        <v>8</v>
      </c>
      <c r="C138" s="160" t="s">
        <v>225</v>
      </c>
      <c r="D138" s="41">
        <f t="shared" si="10"/>
        <v>1243453</v>
      </c>
      <c r="E138" s="53">
        <f t="shared" si="11"/>
        <v>1243453</v>
      </c>
      <c r="F138" s="53">
        <v>0</v>
      </c>
      <c r="G138" s="53">
        <v>0</v>
      </c>
      <c r="H138" s="53">
        <v>0</v>
      </c>
      <c r="I138" s="53">
        <v>754141</v>
      </c>
      <c r="J138" s="53">
        <v>0</v>
      </c>
      <c r="K138" s="53">
        <v>489312</v>
      </c>
      <c r="L138" s="54">
        <v>0</v>
      </c>
      <c r="M138" s="41">
        <v>0</v>
      </c>
      <c r="N138" s="53">
        <v>0</v>
      </c>
      <c r="O138" s="53">
        <v>0</v>
      </c>
      <c r="P138" s="80">
        <v>0</v>
      </c>
      <c r="Q138" s="53">
        <v>0</v>
      </c>
      <c r="R138" s="80">
        <v>0</v>
      </c>
      <c r="S138" s="53">
        <v>0</v>
      </c>
      <c r="T138" s="54">
        <v>0</v>
      </c>
      <c r="U138" s="167">
        <v>0</v>
      </c>
    </row>
    <row r="139" spans="2:24" s="44" customFormat="1" x14ac:dyDescent="0.25">
      <c r="B139" s="91">
        <v>9</v>
      </c>
      <c r="C139" s="160" t="s">
        <v>226</v>
      </c>
      <c r="D139" s="41">
        <f t="shared" si="10"/>
        <v>1219348</v>
      </c>
      <c r="E139" s="53">
        <f t="shared" si="11"/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  <c r="M139" s="41">
        <v>0</v>
      </c>
      <c r="N139" s="53">
        <v>379.8</v>
      </c>
      <c r="O139" s="53">
        <v>1219348</v>
      </c>
      <c r="P139" s="80">
        <v>0</v>
      </c>
      <c r="Q139" s="53">
        <v>0</v>
      </c>
      <c r="R139" s="80">
        <v>0</v>
      </c>
      <c r="S139" s="53">
        <v>0</v>
      </c>
      <c r="T139" s="54">
        <v>0</v>
      </c>
      <c r="U139" s="167">
        <v>0</v>
      </c>
    </row>
    <row r="140" spans="2:24" s="44" customFormat="1" x14ac:dyDescent="0.25">
      <c r="B140" s="89">
        <v>10</v>
      </c>
      <c r="C140" s="160" t="s">
        <v>227</v>
      </c>
      <c r="D140" s="41">
        <f t="shared" si="10"/>
        <v>1772460</v>
      </c>
      <c r="E140" s="53">
        <f t="shared" si="11"/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  <c r="M140" s="41">
        <v>0</v>
      </c>
      <c r="N140" s="53">
        <v>550.79999999999995</v>
      </c>
      <c r="O140" s="53">
        <v>1772460</v>
      </c>
      <c r="P140" s="80">
        <v>0</v>
      </c>
      <c r="Q140" s="53">
        <v>0</v>
      </c>
      <c r="R140" s="80">
        <v>0</v>
      </c>
      <c r="S140" s="53">
        <v>0</v>
      </c>
      <c r="T140" s="54">
        <v>0</v>
      </c>
      <c r="U140" s="167">
        <v>0</v>
      </c>
    </row>
    <row r="141" spans="2:24" s="44" customFormat="1" x14ac:dyDescent="0.25">
      <c r="B141" s="91">
        <v>11</v>
      </c>
      <c r="C141" s="160" t="s">
        <v>228</v>
      </c>
      <c r="D141" s="41">
        <f t="shared" si="10"/>
        <v>2699322</v>
      </c>
      <c r="E141" s="53">
        <f t="shared" si="11"/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  <c r="M141" s="41">
        <v>0</v>
      </c>
      <c r="N141" s="74">
        <v>532.5</v>
      </c>
      <c r="O141" s="53">
        <v>1700808</v>
      </c>
      <c r="P141" s="80">
        <v>0</v>
      </c>
      <c r="Q141" s="53">
        <v>0</v>
      </c>
      <c r="R141" s="80">
        <v>653.70000000000005</v>
      </c>
      <c r="S141" s="53">
        <v>998514</v>
      </c>
      <c r="T141" s="54">
        <v>0</v>
      </c>
      <c r="U141" s="167">
        <v>0</v>
      </c>
    </row>
    <row r="142" spans="2:24" s="44" customFormat="1" x14ac:dyDescent="0.25">
      <c r="B142" s="89">
        <v>12</v>
      </c>
      <c r="C142" s="160" t="s">
        <v>229</v>
      </c>
      <c r="D142" s="41">
        <f t="shared" si="10"/>
        <v>1863012</v>
      </c>
      <c r="E142" s="53">
        <f t="shared" si="11"/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  <c r="M142" s="41">
        <v>0</v>
      </c>
      <c r="N142" s="53">
        <v>579.6</v>
      </c>
      <c r="O142" s="53">
        <v>1863012</v>
      </c>
      <c r="P142" s="80">
        <v>0</v>
      </c>
      <c r="Q142" s="53">
        <v>0</v>
      </c>
      <c r="R142" s="80">
        <v>0</v>
      </c>
      <c r="S142" s="53">
        <v>0</v>
      </c>
      <c r="T142" s="54">
        <v>0</v>
      </c>
      <c r="U142" s="167">
        <v>0</v>
      </c>
    </row>
    <row r="143" spans="2:24" s="44" customFormat="1" x14ac:dyDescent="0.25">
      <c r="B143" s="89">
        <v>13</v>
      </c>
      <c r="C143" s="160" t="s">
        <v>230</v>
      </c>
      <c r="D143" s="41">
        <f t="shared" si="10"/>
        <v>5992284</v>
      </c>
      <c r="E143" s="53">
        <f t="shared" si="11"/>
        <v>5992284</v>
      </c>
      <c r="F143" s="53">
        <v>0</v>
      </c>
      <c r="G143" s="53">
        <v>0</v>
      </c>
      <c r="H143" s="53">
        <v>0</v>
      </c>
      <c r="I143" s="53">
        <v>2996142</v>
      </c>
      <c r="J143" s="53">
        <v>2996142</v>
      </c>
      <c r="K143" s="53">
        <v>0</v>
      </c>
      <c r="L143" s="54">
        <v>0</v>
      </c>
      <c r="M143" s="41">
        <v>0</v>
      </c>
      <c r="N143" s="53">
        <v>0</v>
      </c>
      <c r="O143" s="53">
        <v>0</v>
      </c>
      <c r="P143" s="80">
        <v>0</v>
      </c>
      <c r="Q143" s="53">
        <v>0</v>
      </c>
      <c r="R143" s="80">
        <v>0</v>
      </c>
      <c r="S143" s="53">
        <v>0</v>
      </c>
      <c r="T143" s="54">
        <v>0</v>
      </c>
      <c r="U143" s="167">
        <v>0</v>
      </c>
    </row>
    <row r="144" spans="2:24" s="44" customFormat="1" x14ac:dyDescent="0.25">
      <c r="B144" s="91">
        <v>14</v>
      </c>
      <c r="C144" s="160" t="s">
        <v>383</v>
      </c>
      <c r="D144" s="41">
        <f t="shared" si="10"/>
        <v>2668650</v>
      </c>
      <c r="E144" s="53">
        <f t="shared" si="11"/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  <c r="M144" s="41">
        <v>0</v>
      </c>
      <c r="N144" s="53">
        <v>1066</v>
      </c>
      <c r="O144" s="53">
        <v>2668650</v>
      </c>
      <c r="P144" s="80">
        <v>0</v>
      </c>
      <c r="Q144" s="53">
        <v>0</v>
      </c>
      <c r="R144" s="80">
        <v>0</v>
      </c>
      <c r="S144" s="53">
        <v>0</v>
      </c>
      <c r="T144" s="54">
        <v>0</v>
      </c>
      <c r="U144" s="167">
        <v>0</v>
      </c>
    </row>
    <row r="145" spans="2:21" s="44" customFormat="1" x14ac:dyDescent="0.25">
      <c r="B145" s="91">
        <v>15</v>
      </c>
      <c r="C145" s="160" t="s">
        <v>231</v>
      </c>
      <c r="D145" s="41">
        <f t="shared" si="10"/>
        <v>4485650</v>
      </c>
      <c r="E145" s="53">
        <f t="shared" si="11"/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  <c r="M145" s="41">
        <v>0</v>
      </c>
      <c r="N145" s="53">
        <v>1789</v>
      </c>
      <c r="O145" s="53">
        <v>4485650</v>
      </c>
      <c r="P145" s="80">
        <v>0</v>
      </c>
      <c r="Q145" s="53">
        <v>0</v>
      </c>
      <c r="R145" s="80">
        <v>0</v>
      </c>
      <c r="S145" s="53">
        <v>0</v>
      </c>
      <c r="T145" s="54">
        <v>0</v>
      </c>
      <c r="U145" s="167">
        <v>0</v>
      </c>
    </row>
    <row r="146" spans="2:21" s="44" customFormat="1" x14ac:dyDescent="0.25">
      <c r="B146" s="89">
        <v>16</v>
      </c>
      <c r="C146" s="160" t="s">
        <v>232</v>
      </c>
      <c r="D146" s="41">
        <f t="shared" si="10"/>
        <v>1321814</v>
      </c>
      <c r="E146" s="53">
        <f t="shared" si="11"/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  <c r="M146" s="41">
        <v>0</v>
      </c>
      <c r="N146" s="53">
        <v>522.6</v>
      </c>
      <c r="O146" s="53">
        <v>1321814</v>
      </c>
      <c r="P146" s="80">
        <v>0</v>
      </c>
      <c r="Q146" s="53">
        <v>0</v>
      </c>
      <c r="R146" s="80">
        <v>0</v>
      </c>
      <c r="S146" s="53">
        <v>0</v>
      </c>
      <c r="T146" s="54">
        <v>0</v>
      </c>
      <c r="U146" s="167">
        <v>0</v>
      </c>
    </row>
    <row r="147" spans="2:21" s="44" customFormat="1" x14ac:dyDescent="0.25">
      <c r="B147" s="91">
        <v>17</v>
      </c>
      <c r="C147" s="160" t="s">
        <v>233</v>
      </c>
      <c r="D147" s="41">
        <f t="shared" si="10"/>
        <v>857904</v>
      </c>
      <c r="E147" s="53">
        <f t="shared" si="11"/>
        <v>857904</v>
      </c>
      <c r="F147" s="53">
        <v>0</v>
      </c>
      <c r="G147" s="53">
        <v>260416</v>
      </c>
      <c r="H147" s="53">
        <v>0</v>
      </c>
      <c r="I147" s="53">
        <v>226980</v>
      </c>
      <c r="J147" s="53">
        <v>226980</v>
      </c>
      <c r="K147" s="53">
        <v>143528</v>
      </c>
      <c r="L147" s="54">
        <v>0</v>
      </c>
      <c r="M147" s="41">
        <v>0</v>
      </c>
      <c r="N147" s="53">
        <v>0</v>
      </c>
      <c r="O147" s="53">
        <v>0</v>
      </c>
      <c r="P147" s="80">
        <v>0</v>
      </c>
      <c r="Q147" s="53">
        <v>0</v>
      </c>
      <c r="R147" s="80">
        <v>0</v>
      </c>
      <c r="S147" s="53">
        <v>0</v>
      </c>
      <c r="T147" s="54">
        <v>0</v>
      </c>
      <c r="U147" s="167">
        <v>0</v>
      </c>
    </row>
    <row r="148" spans="2:21" s="44" customFormat="1" x14ac:dyDescent="0.25">
      <c r="B148" s="89">
        <v>18</v>
      </c>
      <c r="C148" s="161" t="s">
        <v>234</v>
      </c>
      <c r="D148" s="41">
        <f t="shared" si="10"/>
        <v>1752447</v>
      </c>
      <c r="E148" s="53">
        <f t="shared" si="11"/>
        <v>238431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238431</v>
      </c>
      <c r="L148" s="54">
        <v>0</v>
      </c>
      <c r="M148" s="41">
        <v>0</v>
      </c>
      <c r="N148" s="53">
        <v>0</v>
      </c>
      <c r="O148" s="53">
        <v>0</v>
      </c>
      <c r="P148" s="80">
        <v>0</v>
      </c>
      <c r="Q148" s="53">
        <v>0</v>
      </c>
      <c r="R148" s="80">
        <v>992.95</v>
      </c>
      <c r="S148" s="53">
        <v>1514016</v>
      </c>
      <c r="T148" s="54">
        <v>0</v>
      </c>
      <c r="U148" s="167">
        <v>0</v>
      </c>
    </row>
    <row r="149" spans="2:21" s="44" customFormat="1" x14ac:dyDescent="0.25">
      <c r="B149" s="89">
        <v>19</v>
      </c>
      <c r="C149" s="160" t="s">
        <v>235</v>
      </c>
      <c r="D149" s="41">
        <f t="shared" si="10"/>
        <v>5583850</v>
      </c>
      <c r="E149" s="53">
        <f t="shared" si="11"/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2</v>
      </c>
      <c r="M149" s="41">
        <v>3918864</v>
      </c>
      <c r="N149" s="53">
        <v>654.79</v>
      </c>
      <c r="O149" s="53">
        <v>1664986</v>
      </c>
      <c r="P149" s="80">
        <v>0</v>
      </c>
      <c r="Q149" s="53">
        <v>0</v>
      </c>
      <c r="R149" s="80">
        <v>0</v>
      </c>
      <c r="S149" s="53">
        <v>0</v>
      </c>
      <c r="T149" s="54">
        <v>0</v>
      </c>
      <c r="U149" s="167">
        <v>0</v>
      </c>
    </row>
    <row r="150" spans="2:21" s="44" customFormat="1" x14ac:dyDescent="0.25">
      <c r="B150" s="91">
        <v>20</v>
      </c>
      <c r="C150" s="161" t="s">
        <v>236</v>
      </c>
      <c r="D150" s="41">
        <f t="shared" si="10"/>
        <v>2509708</v>
      </c>
      <c r="E150" s="53">
        <f t="shared" si="11"/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  <c r="M150" s="41">
        <v>0</v>
      </c>
      <c r="N150" s="53">
        <v>770.8</v>
      </c>
      <c r="O150" s="53">
        <v>2509708</v>
      </c>
      <c r="P150" s="80">
        <v>0</v>
      </c>
      <c r="Q150" s="53">
        <v>0</v>
      </c>
      <c r="R150" s="80">
        <v>0</v>
      </c>
      <c r="S150" s="53">
        <v>0</v>
      </c>
      <c r="T150" s="54">
        <v>0</v>
      </c>
      <c r="U150" s="167">
        <v>0</v>
      </c>
    </row>
    <row r="151" spans="2:21" s="44" customFormat="1" x14ac:dyDescent="0.25">
      <c r="B151" s="91">
        <v>21</v>
      </c>
      <c r="C151" s="162" t="s">
        <v>237</v>
      </c>
      <c r="D151" s="41">
        <f t="shared" si="10"/>
        <v>7853029</v>
      </c>
      <c r="E151" s="53">
        <f t="shared" si="11"/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4</v>
      </c>
      <c r="M151" s="41">
        <v>7853029</v>
      </c>
      <c r="N151" s="53">
        <v>0</v>
      </c>
      <c r="O151" s="53">
        <v>0</v>
      </c>
      <c r="P151" s="80">
        <v>0</v>
      </c>
      <c r="Q151" s="53">
        <v>0</v>
      </c>
      <c r="R151" s="80">
        <v>0</v>
      </c>
      <c r="S151" s="53">
        <v>0</v>
      </c>
      <c r="T151" s="54">
        <v>0</v>
      </c>
      <c r="U151" s="167">
        <v>0</v>
      </c>
    </row>
    <row r="152" spans="2:21" s="44" customFormat="1" x14ac:dyDescent="0.25">
      <c r="B152" s="89">
        <v>22</v>
      </c>
      <c r="C152" s="194" t="s">
        <v>393</v>
      </c>
      <c r="D152" s="41">
        <f t="shared" si="10"/>
        <v>1740599</v>
      </c>
      <c r="E152" s="53">
        <f t="shared" si="11"/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  <c r="M152" s="41">
        <v>0</v>
      </c>
      <c r="N152" s="53">
        <v>545.29999999999995</v>
      </c>
      <c r="O152" s="53">
        <v>1740599</v>
      </c>
      <c r="P152" s="80">
        <v>0</v>
      </c>
      <c r="Q152" s="53">
        <v>0</v>
      </c>
      <c r="R152" s="80">
        <v>0</v>
      </c>
      <c r="S152" s="53">
        <v>0</v>
      </c>
      <c r="T152" s="54">
        <v>0</v>
      </c>
      <c r="U152" s="167">
        <v>0</v>
      </c>
    </row>
    <row r="153" spans="2:21" s="44" customFormat="1" x14ac:dyDescent="0.25">
      <c r="B153" s="91">
        <v>23</v>
      </c>
      <c r="C153" s="161" t="s">
        <v>238</v>
      </c>
      <c r="D153" s="41">
        <f t="shared" si="10"/>
        <v>2660743</v>
      </c>
      <c r="E153" s="53">
        <f t="shared" si="11"/>
        <v>899225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899225</v>
      </c>
      <c r="L153" s="54">
        <v>0</v>
      </c>
      <c r="M153" s="41">
        <v>0</v>
      </c>
      <c r="N153" s="53">
        <v>701</v>
      </c>
      <c r="O153" s="53">
        <v>1761518</v>
      </c>
      <c r="P153" s="80">
        <v>0</v>
      </c>
      <c r="Q153" s="53">
        <v>0</v>
      </c>
      <c r="R153" s="80">
        <v>0</v>
      </c>
      <c r="S153" s="53">
        <v>0</v>
      </c>
      <c r="T153" s="54">
        <v>0</v>
      </c>
      <c r="U153" s="167">
        <v>0</v>
      </c>
    </row>
    <row r="154" spans="2:21" s="44" customFormat="1" x14ac:dyDescent="0.25">
      <c r="B154" s="89">
        <v>24</v>
      </c>
      <c r="C154" s="161" t="s">
        <v>239</v>
      </c>
      <c r="D154" s="41">
        <f t="shared" si="10"/>
        <v>3901362</v>
      </c>
      <c r="E154" s="53">
        <f t="shared" si="11"/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2</v>
      </c>
      <c r="M154" s="41">
        <v>3901362</v>
      </c>
      <c r="N154" s="53">
        <v>0</v>
      </c>
      <c r="O154" s="53">
        <v>0</v>
      </c>
      <c r="P154" s="80">
        <v>0</v>
      </c>
      <c r="Q154" s="53">
        <v>0</v>
      </c>
      <c r="R154" s="80">
        <v>0</v>
      </c>
      <c r="S154" s="53">
        <v>0</v>
      </c>
      <c r="T154" s="54">
        <v>0</v>
      </c>
      <c r="U154" s="167">
        <v>0</v>
      </c>
    </row>
    <row r="155" spans="2:21" s="44" customFormat="1" x14ac:dyDescent="0.25">
      <c r="B155" s="89">
        <v>25</v>
      </c>
      <c r="C155" s="160" t="s">
        <v>240</v>
      </c>
      <c r="D155" s="41">
        <f t="shared" si="10"/>
        <v>7863840</v>
      </c>
      <c r="E155" s="53">
        <f t="shared" si="11"/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4</v>
      </c>
      <c r="M155" s="41">
        <v>7863840</v>
      </c>
      <c r="N155" s="53">
        <v>0</v>
      </c>
      <c r="O155" s="53">
        <v>0</v>
      </c>
      <c r="P155" s="80">
        <v>0</v>
      </c>
      <c r="Q155" s="53">
        <v>0</v>
      </c>
      <c r="R155" s="80">
        <v>0</v>
      </c>
      <c r="S155" s="53">
        <v>0</v>
      </c>
      <c r="T155" s="54">
        <v>0</v>
      </c>
      <c r="U155" s="167">
        <v>0</v>
      </c>
    </row>
    <row r="156" spans="2:21" s="44" customFormat="1" x14ac:dyDescent="0.25">
      <c r="B156" s="91">
        <v>26</v>
      </c>
      <c r="C156" s="161" t="s">
        <v>241</v>
      </c>
      <c r="D156" s="41">
        <f t="shared" si="10"/>
        <v>5583213</v>
      </c>
      <c r="E156" s="53">
        <f t="shared" si="11"/>
        <v>5583213</v>
      </c>
      <c r="F156" s="53">
        <v>0</v>
      </c>
      <c r="G156" s="53">
        <v>5583213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  <c r="M156" s="41">
        <v>0</v>
      </c>
      <c r="N156" s="53">
        <v>0</v>
      </c>
      <c r="O156" s="53">
        <v>0</v>
      </c>
      <c r="P156" s="80">
        <v>0</v>
      </c>
      <c r="Q156" s="53">
        <v>0</v>
      </c>
      <c r="R156" s="80">
        <v>0</v>
      </c>
      <c r="S156" s="53">
        <v>0</v>
      </c>
      <c r="T156" s="54">
        <v>0</v>
      </c>
      <c r="U156" s="167">
        <v>0</v>
      </c>
    </row>
    <row r="157" spans="2:21" s="44" customFormat="1" x14ac:dyDescent="0.25">
      <c r="B157" s="91">
        <v>27</v>
      </c>
      <c r="C157" s="160" t="s">
        <v>242</v>
      </c>
      <c r="D157" s="41">
        <f t="shared" si="10"/>
        <v>1750958</v>
      </c>
      <c r="E157" s="53">
        <f t="shared" si="11"/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  <c r="M157" s="41">
        <v>0</v>
      </c>
      <c r="N157" s="53">
        <v>0</v>
      </c>
      <c r="O157" s="53">
        <v>0</v>
      </c>
      <c r="P157" s="80">
        <v>0</v>
      </c>
      <c r="Q157" s="53">
        <v>0</v>
      </c>
      <c r="R157" s="80">
        <v>1142.5999999999999</v>
      </c>
      <c r="S157" s="53">
        <v>1750958</v>
      </c>
      <c r="T157" s="54">
        <v>0</v>
      </c>
      <c r="U157" s="167">
        <v>0</v>
      </c>
    </row>
    <row r="158" spans="2:21" s="44" customFormat="1" x14ac:dyDescent="0.25">
      <c r="B158" s="89">
        <v>28</v>
      </c>
      <c r="C158" s="161" t="s">
        <v>243</v>
      </c>
      <c r="D158" s="41">
        <f t="shared" si="10"/>
        <v>2142218</v>
      </c>
      <c r="E158" s="53">
        <f t="shared" si="11"/>
        <v>2142218</v>
      </c>
      <c r="F158" s="53">
        <v>0</v>
      </c>
      <c r="G158" s="53">
        <v>2142218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  <c r="M158" s="41">
        <v>0</v>
      </c>
      <c r="N158" s="53">
        <v>0</v>
      </c>
      <c r="O158" s="53">
        <v>0</v>
      </c>
      <c r="P158" s="80">
        <v>0</v>
      </c>
      <c r="Q158" s="53">
        <v>0</v>
      </c>
      <c r="R158" s="80">
        <v>0</v>
      </c>
      <c r="S158" s="53">
        <v>0</v>
      </c>
      <c r="T158" s="54">
        <v>0</v>
      </c>
      <c r="U158" s="167">
        <v>0</v>
      </c>
    </row>
    <row r="159" spans="2:21" s="44" customFormat="1" x14ac:dyDescent="0.25">
      <c r="B159" s="91">
        <v>29</v>
      </c>
      <c r="C159" s="160" t="s">
        <v>244</v>
      </c>
      <c r="D159" s="41">
        <f t="shared" si="10"/>
        <v>2741799</v>
      </c>
      <c r="E159" s="53">
        <f t="shared" si="11"/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  <c r="M159" s="41">
        <v>0</v>
      </c>
      <c r="N159" s="53">
        <v>1111.3</v>
      </c>
      <c r="O159" s="53">
        <v>2741799</v>
      </c>
      <c r="P159" s="80">
        <v>0</v>
      </c>
      <c r="Q159" s="53">
        <v>0</v>
      </c>
      <c r="R159" s="80">
        <v>0</v>
      </c>
      <c r="S159" s="53">
        <v>0</v>
      </c>
      <c r="T159" s="54">
        <v>0</v>
      </c>
      <c r="U159" s="167">
        <v>0</v>
      </c>
    </row>
    <row r="160" spans="2:21" s="44" customFormat="1" x14ac:dyDescent="0.25">
      <c r="B160" s="89">
        <v>30</v>
      </c>
      <c r="C160" s="161" t="s">
        <v>245</v>
      </c>
      <c r="D160" s="41">
        <f t="shared" si="10"/>
        <v>1973396</v>
      </c>
      <c r="E160" s="53">
        <f t="shared" si="11"/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1</v>
      </c>
      <c r="M160" s="41">
        <v>1973396</v>
      </c>
      <c r="N160" s="53">
        <v>0</v>
      </c>
      <c r="O160" s="53">
        <v>0</v>
      </c>
      <c r="P160" s="80">
        <v>0</v>
      </c>
      <c r="Q160" s="53">
        <v>0</v>
      </c>
      <c r="R160" s="80">
        <v>0</v>
      </c>
      <c r="S160" s="53">
        <v>0</v>
      </c>
      <c r="T160" s="54">
        <v>0</v>
      </c>
      <c r="U160" s="167">
        <v>0</v>
      </c>
    </row>
    <row r="161" spans="2:21" s="44" customFormat="1" x14ac:dyDescent="0.25">
      <c r="B161" s="89">
        <v>31</v>
      </c>
      <c r="C161" s="160" t="s">
        <v>246</v>
      </c>
      <c r="D161" s="41">
        <f t="shared" si="10"/>
        <v>4937485</v>
      </c>
      <c r="E161" s="53">
        <f t="shared" si="11"/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  <c r="M161" s="41">
        <v>0</v>
      </c>
      <c r="N161" s="53">
        <v>1980</v>
      </c>
      <c r="O161" s="53">
        <v>4937485</v>
      </c>
      <c r="P161" s="80">
        <v>0</v>
      </c>
      <c r="Q161" s="53">
        <v>0</v>
      </c>
      <c r="R161" s="80">
        <v>0</v>
      </c>
      <c r="S161" s="53">
        <v>0</v>
      </c>
      <c r="T161" s="54">
        <v>0</v>
      </c>
      <c r="U161" s="167">
        <v>0</v>
      </c>
    </row>
    <row r="162" spans="2:21" s="44" customFormat="1" x14ac:dyDescent="0.25">
      <c r="B162" s="91">
        <v>32</v>
      </c>
      <c r="C162" s="160" t="s">
        <v>247</v>
      </c>
      <c r="D162" s="41">
        <f t="shared" si="10"/>
        <v>3898090</v>
      </c>
      <c r="E162" s="53">
        <f t="shared" si="11"/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2</v>
      </c>
      <c r="M162" s="41">
        <v>3898090</v>
      </c>
      <c r="N162" s="53">
        <v>0</v>
      </c>
      <c r="O162" s="53">
        <v>0</v>
      </c>
      <c r="P162" s="80">
        <v>0</v>
      </c>
      <c r="Q162" s="53">
        <v>0</v>
      </c>
      <c r="R162" s="80">
        <v>0</v>
      </c>
      <c r="S162" s="53">
        <v>0</v>
      </c>
      <c r="T162" s="54">
        <v>0</v>
      </c>
      <c r="U162" s="167">
        <v>0</v>
      </c>
    </row>
    <row r="163" spans="2:21" s="44" customFormat="1" x14ac:dyDescent="0.25">
      <c r="B163" s="91">
        <v>33</v>
      </c>
      <c r="C163" s="161" t="s">
        <v>248</v>
      </c>
      <c r="D163" s="41">
        <f t="shared" si="10"/>
        <v>3094009</v>
      </c>
      <c r="E163" s="53">
        <f t="shared" si="11"/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  <c r="M163" s="41">
        <v>0</v>
      </c>
      <c r="N163" s="53">
        <v>1237.19</v>
      </c>
      <c r="O163" s="53">
        <v>3094009</v>
      </c>
      <c r="P163" s="80">
        <v>0</v>
      </c>
      <c r="Q163" s="53">
        <v>0</v>
      </c>
      <c r="R163" s="80">
        <v>0</v>
      </c>
      <c r="S163" s="53">
        <v>0</v>
      </c>
      <c r="T163" s="54">
        <v>0</v>
      </c>
      <c r="U163" s="167">
        <v>0</v>
      </c>
    </row>
    <row r="164" spans="2:21" s="44" customFormat="1" x14ac:dyDescent="0.25">
      <c r="B164" s="89">
        <v>34</v>
      </c>
      <c r="C164" s="195" t="s">
        <v>394</v>
      </c>
      <c r="D164" s="41">
        <f t="shared" si="10"/>
        <v>5209814</v>
      </c>
      <c r="E164" s="53">
        <f t="shared" si="11"/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  <c r="M164" s="41">
        <v>0</v>
      </c>
      <c r="N164" s="53">
        <v>2089.3000000000002</v>
      </c>
      <c r="O164" s="53">
        <v>5209814</v>
      </c>
      <c r="P164" s="80">
        <v>0</v>
      </c>
      <c r="Q164" s="53">
        <v>0</v>
      </c>
      <c r="R164" s="80">
        <v>0</v>
      </c>
      <c r="S164" s="53">
        <v>0</v>
      </c>
      <c r="T164" s="54">
        <v>0</v>
      </c>
      <c r="U164" s="167">
        <v>0</v>
      </c>
    </row>
    <row r="165" spans="2:21" s="44" customFormat="1" x14ac:dyDescent="0.25">
      <c r="B165" s="91">
        <v>35</v>
      </c>
      <c r="C165" s="161" t="s">
        <v>249</v>
      </c>
      <c r="D165" s="41">
        <f t="shared" si="10"/>
        <v>2900664</v>
      </c>
      <c r="E165" s="53">
        <f t="shared" si="11"/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  <c r="M165" s="41">
        <v>0</v>
      </c>
      <c r="N165" s="53">
        <v>601.79999999999995</v>
      </c>
      <c r="O165" s="53">
        <v>1918551</v>
      </c>
      <c r="P165" s="80">
        <v>0</v>
      </c>
      <c r="Q165" s="53">
        <v>0</v>
      </c>
      <c r="R165" s="80">
        <v>642.29999999999995</v>
      </c>
      <c r="S165" s="53">
        <v>982113</v>
      </c>
      <c r="T165" s="54">
        <v>0</v>
      </c>
      <c r="U165" s="167">
        <v>0</v>
      </c>
    </row>
    <row r="166" spans="2:21" s="44" customFormat="1" x14ac:dyDescent="0.25">
      <c r="B166" s="89">
        <v>36</v>
      </c>
      <c r="C166" s="161" t="s">
        <v>250</v>
      </c>
      <c r="D166" s="41">
        <f t="shared" si="10"/>
        <v>1647592</v>
      </c>
      <c r="E166" s="53">
        <f t="shared" si="11"/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  <c r="M166" s="41">
        <v>0</v>
      </c>
      <c r="N166" s="53">
        <v>0</v>
      </c>
      <c r="O166" s="53">
        <v>0</v>
      </c>
      <c r="P166" s="80">
        <v>0</v>
      </c>
      <c r="Q166" s="53">
        <v>0</v>
      </c>
      <c r="R166" s="80">
        <v>2377.8000000000002</v>
      </c>
      <c r="S166" s="53">
        <v>1647592</v>
      </c>
      <c r="T166" s="54">
        <v>0</v>
      </c>
      <c r="U166" s="167">
        <v>0</v>
      </c>
    </row>
    <row r="167" spans="2:21" s="44" customFormat="1" x14ac:dyDescent="0.25">
      <c r="B167" s="89">
        <v>37</v>
      </c>
      <c r="C167" s="161" t="s">
        <v>251</v>
      </c>
      <c r="D167" s="41">
        <f t="shared" si="10"/>
        <v>2275695</v>
      </c>
      <c r="E167" s="53">
        <f t="shared" si="11"/>
        <v>2275695</v>
      </c>
      <c r="F167" s="53">
        <v>2275695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  <c r="M167" s="41">
        <v>0</v>
      </c>
      <c r="N167" s="53">
        <v>0</v>
      </c>
      <c r="O167" s="53">
        <v>0</v>
      </c>
      <c r="P167" s="80">
        <v>0</v>
      </c>
      <c r="Q167" s="53">
        <v>0</v>
      </c>
      <c r="R167" s="80">
        <v>0</v>
      </c>
      <c r="S167" s="53">
        <v>0</v>
      </c>
      <c r="T167" s="54">
        <v>0</v>
      </c>
      <c r="U167" s="167">
        <v>0</v>
      </c>
    </row>
    <row r="168" spans="2:21" s="44" customFormat="1" x14ac:dyDescent="0.25">
      <c r="B168" s="91">
        <v>38</v>
      </c>
      <c r="C168" s="161" t="s">
        <v>252</v>
      </c>
      <c r="D168" s="41">
        <f t="shared" si="10"/>
        <v>13009851</v>
      </c>
      <c r="E168" s="53">
        <f t="shared" si="11"/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  <c r="M168" s="41">
        <v>0</v>
      </c>
      <c r="N168" s="53">
        <v>2075.06</v>
      </c>
      <c r="O168" s="53">
        <v>6610091</v>
      </c>
      <c r="P168" s="80">
        <v>0</v>
      </c>
      <c r="Q168" s="53">
        <v>0</v>
      </c>
      <c r="R168" s="80">
        <v>4223.1000000000004</v>
      </c>
      <c r="S168" s="53">
        <v>6399760</v>
      </c>
      <c r="T168" s="54">
        <v>0</v>
      </c>
      <c r="U168" s="167">
        <v>0</v>
      </c>
    </row>
    <row r="169" spans="2:21" s="44" customFormat="1" x14ac:dyDescent="0.25">
      <c r="B169" s="91">
        <v>39</v>
      </c>
      <c r="C169" s="160" t="s">
        <v>253</v>
      </c>
      <c r="D169" s="41">
        <f t="shared" si="10"/>
        <v>1480760</v>
      </c>
      <c r="E169" s="53">
        <f t="shared" si="11"/>
        <v>1480760</v>
      </c>
      <c r="F169" s="53">
        <v>1480760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  <c r="M169" s="41">
        <v>0</v>
      </c>
      <c r="N169" s="53">
        <v>0</v>
      </c>
      <c r="O169" s="53">
        <v>0</v>
      </c>
      <c r="P169" s="80">
        <v>0</v>
      </c>
      <c r="Q169" s="53">
        <v>0</v>
      </c>
      <c r="R169" s="80">
        <v>0</v>
      </c>
      <c r="S169" s="53">
        <v>0</v>
      </c>
      <c r="T169" s="54">
        <v>0</v>
      </c>
      <c r="U169" s="167">
        <v>0</v>
      </c>
    </row>
    <row r="170" spans="2:21" s="44" customFormat="1" x14ac:dyDescent="0.25">
      <c r="B170" s="89">
        <v>40</v>
      </c>
      <c r="C170" s="160" t="s">
        <v>254</v>
      </c>
      <c r="D170" s="41">
        <f t="shared" si="10"/>
        <v>7890789</v>
      </c>
      <c r="E170" s="53">
        <f t="shared" si="11"/>
        <v>7890789</v>
      </c>
      <c r="F170" s="53">
        <v>0</v>
      </c>
      <c r="G170" s="53">
        <v>4211389</v>
      </c>
      <c r="H170" s="53">
        <v>0</v>
      </c>
      <c r="I170" s="53">
        <v>3679400</v>
      </c>
      <c r="J170" s="53">
        <v>0</v>
      </c>
      <c r="K170" s="53">
        <v>0</v>
      </c>
      <c r="L170" s="54">
        <v>0</v>
      </c>
      <c r="M170" s="41">
        <v>0</v>
      </c>
      <c r="N170" s="53">
        <v>0</v>
      </c>
      <c r="O170" s="53">
        <v>0</v>
      </c>
      <c r="P170" s="80">
        <v>0</v>
      </c>
      <c r="Q170" s="53">
        <v>0</v>
      </c>
      <c r="R170" s="80">
        <v>0</v>
      </c>
      <c r="S170" s="53">
        <v>0</v>
      </c>
      <c r="T170" s="54">
        <v>0</v>
      </c>
      <c r="U170" s="167">
        <v>0</v>
      </c>
    </row>
    <row r="171" spans="2:21" s="44" customFormat="1" x14ac:dyDescent="0.25">
      <c r="B171" s="91">
        <v>41</v>
      </c>
      <c r="C171" s="160" t="s">
        <v>255</v>
      </c>
      <c r="D171" s="41">
        <f t="shared" si="10"/>
        <v>9024554</v>
      </c>
      <c r="E171" s="53">
        <f t="shared" si="11"/>
        <v>3261516</v>
      </c>
      <c r="F171" s="53">
        <v>3261516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  <c r="M171" s="41">
        <v>0</v>
      </c>
      <c r="N171" s="53">
        <v>0</v>
      </c>
      <c r="O171" s="53">
        <v>0</v>
      </c>
      <c r="P171" s="80">
        <v>0</v>
      </c>
      <c r="Q171" s="53">
        <v>0</v>
      </c>
      <c r="R171" s="80">
        <v>3807.3</v>
      </c>
      <c r="S171" s="53">
        <v>5763038</v>
      </c>
      <c r="T171" s="54">
        <v>0</v>
      </c>
      <c r="U171" s="167">
        <v>0</v>
      </c>
    </row>
    <row r="172" spans="2:21" s="44" customFormat="1" x14ac:dyDescent="0.25">
      <c r="B172" s="89">
        <v>42</v>
      </c>
      <c r="C172" s="160" t="s">
        <v>256</v>
      </c>
      <c r="D172" s="41">
        <f t="shared" si="10"/>
        <v>4760511</v>
      </c>
      <c r="E172" s="53">
        <f t="shared" si="11"/>
        <v>1524592</v>
      </c>
      <c r="F172" s="53">
        <v>1524592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  <c r="M172" s="41">
        <v>0</v>
      </c>
      <c r="N172" s="53">
        <v>0</v>
      </c>
      <c r="O172" s="53">
        <v>0</v>
      </c>
      <c r="P172" s="80">
        <v>0</v>
      </c>
      <c r="Q172" s="53">
        <v>0</v>
      </c>
      <c r="R172" s="80">
        <v>2130</v>
      </c>
      <c r="S172" s="53">
        <v>3235919</v>
      </c>
      <c r="T172" s="54">
        <v>0</v>
      </c>
      <c r="U172" s="167">
        <v>0</v>
      </c>
    </row>
    <row r="173" spans="2:21" s="44" customFormat="1" x14ac:dyDescent="0.25">
      <c r="B173" s="89">
        <v>43</v>
      </c>
      <c r="C173" s="160" t="s">
        <v>257</v>
      </c>
      <c r="D173" s="41">
        <f t="shared" si="10"/>
        <v>7269337</v>
      </c>
      <c r="E173" s="53">
        <f t="shared" si="11"/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  <c r="M173" s="41">
        <v>0</v>
      </c>
      <c r="N173" s="53">
        <v>1117.2</v>
      </c>
      <c r="O173" s="53">
        <v>3578424</v>
      </c>
      <c r="P173" s="80">
        <v>0</v>
      </c>
      <c r="Q173" s="53">
        <v>0</v>
      </c>
      <c r="R173" s="80">
        <v>2430</v>
      </c>
      <c r="S173" s="53">
        <v>3690913</v>
      </c>
      <c r="T173" s="54">
        <v>0</v>
      </c>
      <c r="U173" s="167">
        <v>0</v>
      </c>
    </row>
    <row r="174" spans="2:21" s="44" customFormat="1" x14ac:dyDescent="0.25">
      <c r="B174" s="91">
        <v>44</v>
      </c>
      <c r="C174" s="160" t="s">
        <v>258</v>
      </c>
      <c r="D174" s="41">
        <f t="shared" si="10"/>
        <v>1960392</v>
      </c>
      <c r="E174" s="53">
        <f t="shared" si="11"/>
        <v>1960392</v>
      </c>
      <c r="F174" s="53">
        <v>0</v>
      </c>
      <c r="G174" s="53">
        <v>0</v>
      </c>
      <c r="H174" s="53">
        <v>0</v>
      </c>
      <c r="I174" s="53">
        <v>1960392</v>
      </c>
      <c r="J174" s="53">
        <v>0</v>
      </c>
      <c r="K174" s="53">
        <v>0</v>
      </c>
      <c r="L174" s="54">
        <v>0</v>
      </c>
      <c r="M174" s="41">
        <v>0</v>
      </c>
      <c r="N174" s="53">
        <v>0</v>
      </c>
      <c r="O174" s="53">
        <v>0</v>
      </c>
      <c r="P174" s="80">
        <v>0</v>
      </c>
      <c r="Q174" s="53">
        <v>0</v>
      </c>
      <c r="R174" s="80">
        <v>0</v>
      </c>
      <c r="S174" s="53">
        <v>0</v>
      </c>
      <c r="T174" s="54">
        <v>0</v>
      </c>
      <c r="U174" s="167">
        <v>0</v>
      </c>
    </row>
    <row r="175" spans="2:21" s="44" customFormat="1" x14ac:dyDescent="0.25">
      <c r="B175" s="91">
        <v>45</v>
      </c>
      <c r="C175" s="160" t="s">
        <v>259</v>
      </c>
      <c r="D175" s="41">
        <f t="shared" si="10"/>
        <v>1910739</v>
      </c>
      <c r="E175" s="53">
        <f t="shared" si="11"/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  <c r="M175" s="41">
        <v>0</v>
      </c>
      <c r="N175" s="53">
        <v>583.20000000000005</v>
      </c>
      <c r="O175" s="53">
        <v>1910739</v>
      </c>
      <c r="P175" s="80">
        <v>0</v>
      </c>
      <c r="Q175" s="53">
        <v>0</v>
      </c>
      <c r="R175" s="80">
        <v>0</v>
      </c>
      <c r="S175" s="53">
        <v>0</v>
      </c>
      <c r="T175" s="54">
        <v>0</v>
      </c>
      <c r="U175" s="167">
        <v>0</v>
      </c>
    </row>
    <row r="176" spans="2:21" s="44" customFormat="1" x14ac:dyDescent="0.25">
      <c r="B176" s="89">
        <v>46</v>
      </c>
      <c r="C176" s="160" t="s">
        <v>260</v>
      </c>
      <c r="D176" s="41">
        <f t="shared" si="10"/>
        <v>2680529</v>
      </c>
      <c r="E176" s="53">
        <f t="shared" si="11"/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  <c r="M176" s="41">
        <v>0</v>
      </c>
      <c r="N176" s="53">
        <v>1064</v>
      </c>
      <c r="O176" s="53">
        <v>2680529</v>
      </c>
      <c r="P176" s="80">
        <v>0</v>
      </c>
      <c r="Q176" s="53">
        <v>0</v>
      </c>
      <c r="R176" s="80">
        <v>0</v>
      </c>
      <c r="S176" s="53">
        <v>0</v>
      </c>
      <c r="T176" s="54">
        <v>0</v>
      </c>
      <c r="U176" s="167">
        <v>0</v>
      </c>
    </row>
    <row r="177" spans="2:21" s="44" customFormat="1" x14ac:dyDescent="0.25">
      <c r="B177" s="91">
        <v>47</v>
      </c>
      <c r="C177" s="160" t="s">
        <v>135</v>
      </c>
      <c r="D177" s="41">
        <f t="shared" si="10"/>
        <v>1775454</v>
      </c>
      <c r="E177" s="53">
        <f t="shared" si="11"/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  <c r="M177" s="41">
        <v>0</v>
      </c>
      <c r="N177" s="53">
        <v>699.4</v>
      </c>
      <c r="O177" s="53">
        <v>1775454</v>
      </c>
      <c r="P177" s="80">
        <v>0</v>
      </c>
      <c r="Q177" s="53">
        <v>0</v>
      </c>
      <c r="R177" s="80">
        <v>0</v>
      </c>
      <c r="S177" s="53">
        <v>0</v>
      </c>
      <c r="T177" s="54">
        <v>0</v>
      </c>
      <c r="U177" s="167">
        <v>0</v>
      </c>
    </row>
    <row r="178" spans="2:21" s="44" customFormat="1" x14ac:dyDescent="0.25">
      <c r="B178" s="89">
        <v>48</v>
      </c>
      <c r="C178" s="160" t="s">
        <v>139</v>
      </c>
      <c r="D178" s="41">
        <f t="shared" si="10"/>
        <v>2229085</v>
      </c>
      <c r="E178" s="53">
        <f t="shared" si="11"/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  <c r="M178" s="41">
        <v>0</v>
      </c>
      <c r="N178" s="53">
        <v>881.1</v>
      </c>
      <c r="O178" s="53">
        <v>2229085</v>
      </c>
      <c r="P178" s="80">
        <v>0</v>
      </c>
      <c r="Q178" s="53">
        <v>0</v>
      </c>
      <c r="R178" s="80">
        <v>0</v>
      </c>
      <c r="S178" s="53">
        <v>0</v>
      </c>
      <c r="T178" s="54">
        <v>0</v>
      </c>
      <c r="U178" s="167">
        <v>0</v>
      </c>
    </row>
    <row r="179" spans="2:21" s="44" customFormat="1" x14ac:dyDescent="0.25">
      <c r="B179" s="89">
        <v>49</v>
      </c>
      <c r="C179" s="160" t="s">
        <v>261</v>
      </c>
      <c r="D179" s="41">
        <f t="shared" si="10"/>
        <v>5875894</v>
      </c>
      <c r="E179" s="53">
        <f t="shared" si="11"/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3</v>
      </c>
      <c r="M179" s="41">
        <v>5875894</v>
      </c>
      <c r="N179" s="53">
        <v>0</v>
      </c>
      <c r="O179" s="53">
        <v>0</v>
      </c>
      <c r="P179" s="80">
        <v>0</v>
      </c>
      <c r="Q179" s="53">
        <v>0</v>
      </c>
      <c r="R179" s="80">
        <v>0</v>
      </c>
      <c r="S179" s="53">
        <v>0</v>
      </c>
      <c r="T179" s="54">
        <v>0</v>
      </c>
      <c r="U179" s="167">
        <v>0</v>
      </c>
    </row>
    <row r="180" spans="2:21" s="44" customFormat="1" x14ac:dyDescent="0.25">
      <c r="B180" s="91">
        <v>50</v>
      </c>
      <c r="C180" s="160" t="s">
        <v>262</v>
      </c>
      <c r="D180" s="41">
        <f t="shared" si="10"/>
        <v>19301983</v>
      </c>
      <c r="E180" s="53">
        <f t="shared" si="11"/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7</v>
      </c>
      <c r="M180" s="41">
        <v>13860949</v>
      </c>
      <c r="N180" s="53">
        <v>2173</v>
      </c>
      <c r="O180" s="53">
        <v>5441034</v>
      </c>
      <c r="P180" s="80">
        <v>0</v>
      </c>
      <c r="Q180" s="53">
        <v>0</v>
      </c>
      <c r="R180" s="80">
        <v>0</v>
      </c>
      <c r="S180" s="53">
        <v>0</v>
      </c>
      <c r="T180" s="54">
        <v>0</v>
      </c>
      <c r="U180" s="167">
        <v>0</v>
      </c>
    </row>
    <row r="181" spans="2:21" s="44" customFormat="1" x14ac:dyDescent="0.25">
      <c r="B181" s="91">
        <v>51</v>
      </c>
      <c r="C181" s="160" t="s">
        <v>263</v>
      </c>
      <c r="D181" s="41">
        <f t="shared" si="10"/>
        <v>16761523</v>
      </c>
      <c r="E181" s="53">
        <f t="shared" si="11"/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6</v>
      </c>
      <c r="M181" s="41">
        <v>11841683</v>
      </c>
      <c r="N181" s="53">
        <v>1964</v>
      </c>
      <c r="O181" s="53">
        <v>4919840</v>
      </c>
      <c r="P181" s="80">
        <v>0</v>
      </c>
      <c r="Q181" s="53">
        <v>0</v>
      </c>
      <c r="R181" s="80">
        <v>0</v>
      </c>
      <c r="S181" s="53">
        <v>0</v>
      </c>
      <c r="T181" s="54">
        <v>0</v>
      </c>
      <c r="U181" s="167">
        <v>0</v>
      </c>
    </row>
    <row r="182" spans="2:21" s="44" customFormat="1" x14ac:dyDescent="0.25">
      <c r="B182" s="89">
        <v>52</v>
      </c>
      <c r="C182" s="160" t="s">
        <v>264</v>
      </c>
      <c r="D182" s="41">
        <f t="shared" si="10"/>
        <v>2705922</v>
      </c>
      <c r="E182" s="53">
        <f t="shared" si="11"/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  <c r="M182" s="41">
        <v>0</v>
      </c>
      <c r="N182" s="53">
        <v>2200</v>
      </c>
      <c r="O182" s="53">
        <v>2705922</v>
      </c>
      <c r="P182" s="80">
        <v>0</v>
      </c>
      <c r="Q182" s="53">
        <v>0</v>
      </c>
      <c r="R182" s="80">
        <v>0</v>
      </c>
      <c r="S182" s="53">
        <v>0</v>
      </c>
      <c r="T182" s="54">
        <v>0</v>
      </c>
      <c r="U182" s="167">
        <v>0</v>
      </c>
    </row>
    <row r="183" spans="2:21" s="44" customFormat="1" x14ac:dyDescent="0.25">
      <c r="B183" s="91">
        <v>53</v>
      </c>
      <c r="C183" s="160" t="s">
        <v>265</v>
      </c>
      <c r="D183" s="41">
        <f t="shared" si="10"/>
        <v>5332832</v>
      </c>
      <c r="E183" s="53">
        <f t="shared" si="11"/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  <c r="M183" s="41">
        <v>0</v>
      </c>
      <c r="N183" s="53">
        <v>1085</v>
      </c>
      <c r="O183" s="53">
        <v>2715104</v>
      </c>
      <c r="P183" s="80">
        <v>0</v>
      </c>
      <c r="Q183" s="53">
        <v>0</v>
      </c>
      <c r="R183" s="80">
        <v>1710</v>
      </c>
      <c r="S183" s="53">
        <v>2617728</v>
      </c>
      <c r="T183" s="54">
        <v>0</v>
      </c>
      <c r="U183" s="167">
        <v>0</v>
      </c>
    </row>
    <row r="184" spans="2:21" s="44" customFormat="1" x14ac:dyDescent="0.25">
      <c r="B184" s="89">
        <v>54</v>
      </c>
      <c r="C184" s="160" t="s">
        <v>266</v>
      </c>
      <c r="D184" s="41">
        <f t="shared" si="10"/>
        <v>3933209</v>
      </c>
      <c r="E184" s="53">
        <f t="shared" si="11"/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2</v>
      </c>
      <c r="M184" s="41">
        <v>3933209</v>
      </c>
      <c r="N184" s="53">
        <v>0</v>
      </c>
      <c r="O184" s="53">
        <v>0</v>
      </c>
      <c r="P184" s="80">
        <v>0</v>
      </c>
      <c r="Q184" s="53">
        <v>0</v>
      </c>
      <c r="R184" s="80">
        <v>0</v>
      </c>
      <c r="S184" s="53">
        <v>0</v>
      </c>
      <c r="T184" s="54">
        <v>0</v>
      </c>
      <c r="U184" s="167">
        <v>0</v>
      </c>
    </row>
    <row r="185" spans="2:21" s="44" customFormat="1" x14ac:dyDescent="0.25">
      <c r="B185" s="89">
        <v>55</v>
      </c>
      <c r="C185" s="160" t="s">
        <v>267</v>
      </c>
      <c r="D185" s="41">
        <f t="shared" si="10"/>
        <v>15072649</v>
      </c>
      <c r="E185" s="53">
        <f t="shared" si="11"/>
        <v>7895026</v>
      </c>
      <c r="F185" s="53">
        <v>0</v>
      </c>
      <c r="G185" s="53">
        <v>2871256</v>
      </c>
      <c r="H185" s="53">
        <v>0</v>
      </c>
      <c r="I185" s="53">
        <v>2511885</v>
      </c>
      <c r="J185" s="53">
        <v>2511885</v>
      </c>
      <c r="K185" s="53">
        <v>0</v>
      </c>
      <c r="L185" s="54">
        <v>0</v>
      </c>
      <c r="M185" s="41">
        <v>0</v>
      </c>
      <c r="N185" s="53">
        <v>1079</v>
      </c>
      <c r="O185" s="53">
        <v>3473427</v>
      </c>
      <c r="P185" s="80">
        <v>0</v>
      </c>
      <c r="Q185" s="53">
        <v>0</v>
      </c>
      <c r="R185" s="80">
        <v>2433.33</v>
      </c>
      <c r="S185" s="53">
        <v>3704196</v>
      </c>
      <c r="T185" s="54">
        <v>0</v>
      </c>
      <c r="U185" s="167">
        <v>0</v>
      </c>
    </row>
    <row r="186" spans="2:21" s="44" customFormat="1" x14ac:dyDescent="0.25">
      <c r="B186" s="91">
        <v>56</v>
      </c>
      <c r="C186" s="160" t="s">
        <v>268</v>
      </c>
      <c r="D186" s="41">
        <f t="shared" si="10"/>
        <v>27665033</v>
      </c>
      <c r="E186" s="53">
        <f t="shared" si="11"/>
        <v>20028096</v>
      </c>
      <c r="F186" s="53">
        <v>3206724</v>
      </c>
      <c r="G186" s="53">
        <v>4288176</v>
      </c>
      <c r="H186" s="53">
        <v>2633459</v>
      </c>
      <c r="I186" s="53">
        <v>3748725</v>
      </c>
      <c r="J186" s="53">
        <v>3748725</v>
      </c>
      <c r="K186" s="53">
        <v>2402287</v>
      </c>
      <c r="L186" s="54">
        <v>0</v>
      </c>
      <c r="M186" s="41">
        <v>0</v>
      </c>
      <c r="N186" s="53">
        <v>2400</v>
      </c>
      <c r="O186" s="53">
        <v>7636937</v>
      </c>
      <c r="P186" s="80">
        <v>0</v>
      </c>
      <c r="Q186" s="53">
        <v>0</v>
      </c>
      <c r="R186" s="80">
        <v>0</v>
      </c>
      <c r="S186" s="53">
        <v>0</v>
      </c>
      <c r="T186" s="54">
        <v>0</v>
      </c>
      <c r="U186" s="167">
        <v>0</v>
      </c>
    </row>
    <row r="187" spans="2:21" s="44" customFormat="1" x14ac:dyDescent="0.25">
      <c r="B187" s="91">
        <v>57</v>
      </c>
      <c r="C187" s="160" t="s">
        <v>269</v>
      </c>
      <c r="D187" s="41">
        <f t="shared" si="10"/>
        <v>16960254</v>
      </c>
      <c r="E187" s="53">
        <f t="shared" si="11"/>
        <v>0</v>
      </c>
      <c r="F187" s="53">
        <v>0</v>
      </c>
      <c r="G187" s="53">
        <v>0</v>
      </c>
      <c r="H187" s="53">
        <v>0</v>
      </c>
      <c r="I187" s="53">
        <v>0</v>
      </c>
      <c r="J187" s="53">
        <v>0</v>
      </c>
      <c r="K187" s="53">
        <v>0</v>
      </c>
      <c r="L187" s="54">
        <v>5</v>
      </c>
      <c r="M187" s="41">
        <v>9942535</v>
      </c>
      <c r="N187" s="53">
        <v>2807.9</v>
      </c>
      <c r="O187" s="53">
        <v>7017719</v>
      </c>
      <c r="P187" s="80">
        <v>0</v>
      </c>
      <c r="Q187" s="53">
        <v>0</v>
      </c>
      <c r="R187" s="80">
        <v>0</v>
      </c>
      <c r="S187" s="53">
        <v>0</v>
      </c>
      <c r="T187" s="54">
        <v>0</v>
      </c>
      <c r="U187" s="167">
        <v>0</v>
      </c>
    </row>
    <row r="188" spans="2:21" s="44" customFormat="1" x14ac:dyDescent="0.25">
      <c r="B188" s="89">
        <v>58</v>
      </c>
      <c r="C188" s="160" t="s">
        <v>270</v>
      </c>
      <c r="D188" s="41">
        <f t="shared" si="10"/>
        <v>2244189</v>
      </c>
      <c r="E188" s="53">
        <f t="shared" si="11"/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  <c r="M188" s="41">
        <v>0</v>
      </c>
      <c r="N188" s="53">
        <v>895</v>
      </c>
      <c r="O188" s="53">
        <v>2244189</v>
      </c>
      <c r="P188" s="80">
        <v>0</v>
      </c>
      <c r="Q188" s="53">
        <v>0</v>
      </c>
      <c r="R188" s="80">
        <v>0</v>
      </c>
      <c r="S188" s="53">
        <v>0</v>
      </c>
      <c r="T188" s="54">
        <v>0</v>
      </c>
      <c r="U188" s="167">
        <v>0</v>
      </c>
    </row>
    <row r="189" spans="2:21" s="44" customFormat="1" x14ac:dyDescent="0.25">
      <c r="B189" s="91">
        <v>59</v>
      </c>
      <c r="C189" s="160" t="s">
        <v>271</v>
      </c>
      <c r="D189" s="41">
        <f t="shared" si="10"/>
        <v>3823864</v>
      </c>
      <c r="E189" s="53">
        <f t="shared" si="11"/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  <c r="M189" s="41">
        <v>0</v>
      </c>
      <c r="N189" s="53">
        <v>1525.26</v>
      </c>
      <c r="O189" s="53">
        <v>3823864</v>
      </c>
      <c r="P189" s="80">
        <v>0</v>
      </c>
      <c r="Q189" s="53">
        <v>0</v>
      </c>
      <c r="R189" s="80">
        <v>0</v>
      </c>
      <c r="S189" s="53">
        <v>0</v>
      </c>
      <c r="T189" s="54">
        <v>0</v>
      </c>
      <c r="U189" s="167">
        <v>0</v>
      </c>
    </row>
    <row r="190" spans="2:21" s="44" customFormat="1" x14ac:dyDescent="0.25">
      <c r="B190" s="89">
        <v>60</v>
      </c>
      <c r="C190" s="160" t="s">
        <v>272</v>
      </c>
      <c r="D190" s="41">
        <f t="shared" si="10"/>
        <v>3683615</v>
      </c>
      <c r="E190" s="53">
        <f t="shared" si="11"/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  <c r="M190" s="41">
        <v>0</v>
      </c>
      <c r="N190" s="53">
        <v>1475</v>
      </c>
      <c r="O190" s="53">
        <v>3683615</v>
      </c>
      <c r="P190" s="80">
        <v>0</v>
      </c>
      <c r="Q190" s="53">
        <v>0</v>
      </c>
      <c r="R190" s="80">
        <v>0</v>
      </c>
      <c r="S190" s="53">
        <v>0</v>
      </c>
      <c r="T190" s="54">
        <v>0</v>
      </c>
      <c r="U190" s="167">
        <v>0</v>
      </c>
    </row>
    <row r="191" spans="2:21" s="44" customFormat="1" x14ac:dyDescent="0.25">
      <c r="B191" s="89">
        <v>61</v>
      </c>
      <c r="C191" s="160" t="s">
        <v>273</v>
      </c>
      <c r="D191" s="41">
        <f t="shared" si="10"/>
        <v>1834011</v>
      </c>
      <c r="E191" s="53">
        <f t="shared" si="11"/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  <c r="M191" s="41">
        <v>0</v>
      </c>
      <c r="N191" s="53">
        <v>730</v>
      </c>
      <c r="O191" s="53">
        <v>1834011</v>
      </c>
      <c r="P191" s="80">
        <v>0</v>
      </c>
      <c r="Q191" s="53">
        <v>0</v>
      </c>
      <c r="R191" s="80">
        <v>0</v>
      </c>
      <c r="S191" s="53">
        <v>0</v>
      </c>
      <c r="T191" s="54">
        <v>0</v>
      </c>
      <c r="U191" s="167">
        <v>0</v>
      </c>
    </row>
    <row r="192" spans="2:21" s="44" customFormat="1" x14ac:dyDescent="0.25">
      <c r="B192" s="91">
        <v>62</v>
      </c>
      <c r="C192" s="160" t="s">
        <v>274</v>
      </c>
      <c r="D192" s="41">
        <f t="shared" si="10"/>
        <v>4637754</v>
      </c>
      <c r="E192" s="53">
        <f t="shared" si="11"/>
        <v>2670278</v>
      </c>
      <c r="F192" s="53">
        <v>2670278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4">
        <v>1</v>
      </c>
      <c r="M192" s="41">
        <v>1967476</v>
      </c>
      <c r="N192" s="53">
        <v>0</v>
      </c>
      <c r="O192" s="53">
        <v>0</v>
      </c>
      <c r="P192" s="80">
        <v>0</v>
      </c>
      <c r="Q192" s="53">
        <v>0</v>
      </c>
      <c r="R192" s="80">
        <v>0</v>
      </c>
      <c r="S192" s="53">
        <v>0</v>
      </c>
      <c r="T192" s="54">
        <v>0</v>
      </c>
      <c r="U192" s="167">
        <v>0</v>
      </c>
    </row>
    <row r="193" spans="2:21" s="44" customFormat="1" x14ac:dyDescent="0.25">
      <c r="B193" s="91">
        <v>63</v>
      </c>
      <c r="C193" s="160" t="s">
        <v>194</v>
      </c>
      <c r="D193" s="41">
        <f t="shared" si="10"/>
        <v>3174246</v>
      </c>
      <c r="E193" s="53">
        <f t="shared" si="11"/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  <c r="M193" s="41">
        <v>0</v>
      </c>
      <c r="N193" s="53">
        <v>1262</v>
      </c>
      <c r="O193" s="53">
        <v>3174246</v>
      </c>
      <c r="P193" s="80">
        <v>0</v>
      </c>
      <c r="Q193" s="53">
        <v>0</v>
      </c>
      <c r="R193" s="80">
        <v>0</v>
      </c>
      <c r="S193" s="53">
        <v>0</v>
      </c>
      <c r="T193" s="54">
        <v>0</v>
      </c>
      <c r="U193" s="167">
        <v>0</v>
      </c>
    </row>
    <row r="194" spans="2:21" s="44" customFormat="1" x14ac:dyDescent="0.25">
      <c r="B194" s="89">
        <v>64</v>
      </c>
      <c r="C194" s="160" t="s">
        <v>275</v>
      </c>
      <c r="D194" s="41">
        <f t="shared" si="10"/>
        <v>9148745</v>
      </c>
      <c r="E194" s="53">
        <f t="shared" ref="E194:E253" si="12">SUM(F194:K194)</f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2</v>
      </c>
      <c r="M194" s="41">
        <v>3933713</v>
      </c>
      <c r="N194" s="53">
        <v>450</v>
      </c>
      <c r="O194" s="53">
        <v>1160262</v>
      </c>
      <c r="P194" s="80">
        <v>0</v>
      </c>
      <c r="Q194" s="53">
        <v>0</v>
      </c>
      <c r="R194" s="80">
        <v>2642</v>
      </c>
      <c r="S194" s="53">
        <v>4054770</v>
      </c>
      <c r="T194" s="54">
        <v>0</v>
      </c>
      <c r="U194" s="167">
        <v>0</v>
      </c>
    </row>
    <row r="195" spans="2:21" s="44" customFormat="1" x14ac:dyDescent="0.25">
      <c r="B195" s="91">
        <v>65</v>
      </c>
      <c r="C195" s="160" t="s">
        <v>276</v>
      </c>
      <c r="D195" s="41">
        <f t="shared" si="10"/>
        <v>9148189</v>
      </c>
      <c r="E195" s="53">
        <f t="shared" si="12"/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2</v>
      </c>
      <c r="M195" s="41">
        <v>3933360</v>
      </c>
      <c r="N195" s="53">
        <v>450</v>
      </c>
      <c r="O195" s="53">
        <v>1160192</v>
      </c>
      <c r="P195" s="80">
        <v>0</v>
      </c>
      <c r="Q195" s="53">
        <v>0</v>
      </c>
      <c r="R195" s="80">
        <v>2642</v>
      </c>
      <c r="S195" s="53">
        <v>4054637</v>
      </c>
      <c r="T195" s="54">
        <v>0</v>
      </c>
      <c r="U195" s="167">
        <v>0</v>
      </c>
    </row>
    <row r="196" spans="2:21" s="44" customFormat="1" x14ac:dyDescent="0.25">
      <c r="B196" s="89">
        <v>66</v>
      </c>
      <c r="C196" s="160" t="s">
        <v>277</v>
      </c>
      <c r="D196" s="41">
        <f t="shared" si="10"/>
        <v>7032747</v>
      </c>
      <c r="E196" s="53">
        <f t="shared" si="12"/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1</v>
      </c>
      <c r="M196" s="41">
        <v>1969456</v>
      </c>
      <c r="N196" s="53">
        <v>527.5</v>
      </c>
      <c r="O196" s="53">
        <v>1348831</v>
      </c>
      <c r="P196" s="80">
        <v>0</v>
      </c>
      <c r="Q196" s="53">
        <v>0</v>
      </c>
      <c r="R196" s="80">
        <v>2420</v>
      </c>
      <c r="S196" s="53">
        <v>3714460</v>
      </c>
      <c r="T196" s="54">
        <v>0</v>
      </c>
      <c r="U196" s="167">
        <v>0</v>
      </c>
    </row>
    <row r="197" spans="2:21" s="44" customFormat="1" x14ac:dyDescent="0.25">
      <c r="B197" s="89">
        <v>67</v>
      </c>
      <c r="C197" s="160" t="s">
        <v>278</v>
      </c>
      <c r="D197" s="41">
        <f t="shared" ref="D197:D261" si="13">E197+M197+O197+Q197+S197+U197</f>
        <v>6596287</v>
      </c>
      <c r="E197" s="53">
        <f t="shared" si="12"/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1</v>
      </c>
      <c r="M197" s="41">
        <v>1964603</v>
      </c>
      <c r="N197" s="53">
        <v>513</v>
      </c>
      <c r="O197" s="53">
        <v>1311159</v>
      </c>
      <c r="P197" s="80">
        <v>0</v>
      </c>
      <c r="Q197" s="53">
        <v>0</v>
      </c>
      <c r="R197" s="80">
        <v>2160</v>
      </c>
      <c r="S197" s="53">
        <v>3320525</v>
      </c>
      <c r="T197" s="54">
        <v>0</v>
      </c>
      <c r="U197" s="167">
        <v>0</v>
      </c>
    </row>
    <row r="198" spans="2:21" s="44" customFormat="1" x14ac:dyDescent="0.25">
      <c r="B198" s="91">
        <v>68</v>
      </c>
      <c r="C198" s="160" t="s">
        <v>279</v>
      </c>
      <c r="D198" s="41">
        <f t="shared" si="13"/>
        <v>1604996</v>
      </c>
      <c r="E198" s="53">
        <f t="shared" si="12"/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  <c r="M198" s="41">
        <v>0</v>
      </c>
      <c r="N198" s="53">
        <v>637.6</v>
      </c>
      <c r="O198" s="53">
        <v>1604996</v>
      </c>
      <c r="P198" s="80">
        <v>0</v>
      </c>
      <c r="Q198" s="53">
        <v>0</v>
      </c>
      <c r="R198" s="80">
        <v>0</v>
      </c>
      <c r="S198" s="53">
        <v>0</v>
      </c>
      <c r="T198" s="54">
        <v>0</v>
      </c>
      <c r="U198" s="167">
        <v>0</v>
      </c>
    </row>
    <row r="199" spans="2:21" s="44" customFormat="1" x14ac:dyDescent="0.25">
      <c r="B199" s="91">
        <v>69</v>
      </c>
      <c r="C199" s="160" t="s">
        <v>280</v>
      </c>
      <c r="D199" s="41">
        <f t="shared" si="13"/>
        <v>1474392</v>
      </c>
      <c r="E199" s="53">
        <f t="shared" si="12"/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  <c r="M199" s="41">
        <v>0</v>
      </c>
      <c r="N199" s="53">
        <v>585</v>
      </c>
      <c r="O199" s="53">
        <v>1474392</v>
      </c>
      <c r="P199" s="80">
        <v>0</v>
      </c>
      <c r="Q199" s="53">
        <v>0</v>
      </c>
      <c r="R199" s="80">
        <v>0</v>
      </c>
      <c r="S199" s="53">
        <v>0</v>
      </c>
      <c r="T199" s="54">
        <v>0</v>
      </c>
      <c r="U199" s="167">
        <v>0</v>
      </c>
    </row>
    <row r="200" spans="2:21" s="44" customFormat="1" x14ac:dyDescent="0.25">
      <c r="B200" s="89">
        <v>70</v>
      </c>
      <c r="C200" s="160" t="s">
        <v>281</v>
      </c>
      <c r="D200" s="41">
        <f t="shared" si="13"/>
        <v>1473151</v>
      </c>
      <c r="E200" s="53">
        <f t="shared" si="12"/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  <c r="M200" s="41">
        <v>0</v>
      </c>
      <c r="N200" s="53">
        <v>585</v>
      </c>
      <c r="O200" s="53">
        <v>1473151</v>
      </c>
      <c r="P200" s="80">
        <v>0</v>
      </c>
      <c r="Q200" s="53">
        <v>0</v>
      </c>
      <c r="R200" s="80">
        <v>0</v>
      </c>
      <c r="S200" s="53">
        <v>0</v>
      </c>
      <c r="T200" s="54">
        <v>0</v>
      </c>
      <c r="U200" s="167">
        <v>0</v>
      </c>
    </row>
    <row r="201" spans="2:21" s="44" customFormat="1" x14ac:dyDescent="0.25">
      <c r="B201" s="91">
        <v>71</v>
      </c>
      <c r="C201" s="160" t="s">
        <v>282</v>
      </c>
      <c r="D201" s="41">
        <f t="shared" si="13"/>
        <v>2703693</v>
      </c>
      <c r="E201" s="53">
        <f t="shared" si="12"/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  <c r="M201" s="41">
        <v>0</v>
      </c>
      <c r="N201" s="53">
        <v>0</v>
      </c>
      <c r="O201" s="53">
        <v>0</v>
      </c>
      <c r="P201" s="80">
        <v>0</v>
      </c>
      <c r="Q201" s="53">
        <v>0</v>
      </c>
      <c r="R201" s="80">
        <v>1775</v>
      </c>
      <c r="S201" s="53">
        <v>2703693</v>
      </c>
      <c r="T201" s="54">
        <v>0</v>
      </c>
      <c r="U201" s="167">
        <v>0</v>
      </c>
    </row>
    <row r="202" spans="2:21" s="44" customFormat="1" x14ac:dyDescent="0.25">
      <c r="B202" s="89">
        <v>72</v>
      </c>
      <c r="C202" s="160" t="s">
        <v>283</v>
      </c>
      <c r="D202" s="41">
        <f t="shared" si="13"/>
        <v>5861128</v>
      </c>
      <c r="E202" s="53">
        <f t="shared" si="12"/>
        <v>0</v>
      </c>
      <c r="F202" s="53">
        <v>0</v>
      </c>
      <c r="G202" s="53">
        <v>0</v>
      </c>
      <c r="H202" s="53">
        <v>0</v>
      </c>
      <c r="I202" s="53">
        <v>0</v>
      </c>
      <c r="J202" s="53">
        <v>0</v>
      </c>
      <c r="K202" s="53">
        <v>0</v>
      </c>
      <c r="L202" s="54">
        <v>0</v>
      </c>
      <c r="M202" s="41">
        <v>0</v>
      </c>
      <c r="N202" s="53">
        <v>1094</v>
      </c>
      <c r="O202" s="53">
        <v>3469897</v>
      </c>
      <c r="P202" s="80">
        <v>0</v>
      </c>
      <c r="Q202" s="53">
        <v>0</v>
      </c>
      <c r="R202" s="80">
        <v>1574</v>
      </c>
      <c r="S202" s="53">
        <v>2391231</v>
      </c>
      <c r="T202" s="54">
        <v>0</v>
      </c>
      <c r="U202" s="167">
        <v>0</v>
      </c>
    </row>
    <row r="203" spans="2:21" s="44" customFormat="1" x14ac:dyDescent="0.25">
      <c r="B203" s="89">
        <v>73</v>
      </c>
      <c r="C203" s="160" t="s">
        <v>284</v>
      </c>
      <c r="D203" s="41">
        <f t="shared" si="13"/>
        <v>3923052</v>
      </c>
      <c r="E203" s="53">
        <f t="shared" si="12"/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2</v>
      </c>
      <c r="M203" s="41">
        <v>3923052</v>
      </c>
      <c r="N203" s="53">
        <v>0</v>
      </c>
      <c r="O203" s="53">
        <v>0</v>
      </c>
      <c r="P203" s="80">
        <v>0</v>
      </c>
      <c r="Q203" s="53">
        <v>0</v>
      </c>
      <c r="R203" s="80">
        <v>0</v>
      </c>
      <c r="S203" s="53">
        <v>0</v>
      </c>
      <c r="T203" s="54">
        <v>0</v>
      </c>
      <c r="U203" s="167">
        <v>0</v>
      </c>
    </row>
    <row r="204" spans="2:21" s="44" customFormat="1" x14ac:dyDescent="0.25">
      <c r="B204" s="91">
        <v>74</v>
      </c>
      <c r="C204" s="160" t="s">
        <v>285</v>
      </c>
      <c r="D204" s="41">
        <f t="shared" si="13"/>
        <v>2765829</v>
      </c>
      <c r="E204" s="53">
        <f t="shared" si="12"/>
        <v>2765829</v>
      </c>
      <c r="F204" s="53">
        <v>1577995</v>
      </c>
      <c r="G204" s="53">
        <v>0</v>
      </c>
      <c r="H204" s="53">
        <v>0</v>
      </c>
      <c r="I204" s="53">
        <v>0</v>
      </c>
      <c r="J204" s="53">
        <v>0</v>
      </c>
      <c r="K204" s="53">
        <v>1187834</v>
      </c>
      <c r="L204" s="54">
        <v>0</v>
      </c>
      <c r="M204" s="41">
        <v>0</v>
      </c>
      <c r="N204" s="53">
        <v>0</v>
      </c>
      <c r="O204" s="53">
        <v>0</v>
      </c>
      <c r="P204" s="80">
        <v>0</v>
      </c>
      <c r="Q204" s="53">
        <v>0</v>
      </c>
      <c r="R204" s="80">
        <v>0</v>
      </c>
      <c r="S204" s="53">
        <v>0</v>
      </c>
      <c r="T204" s="54">
        <v>0</v>
      </c>
      <c r="U204" s="167">
        <v>0</v>
      </c>
    </row>
    <row r="205" spans="2:21" s="44" customFormat="1" x14ac:dyDescent="0.25">
      <c r="B205" s="91">
        <v>75</v>
      </c>
      <c r="C205" s="160" t="s">
        <v>286</v>
      </c>
      <c r="D205" s="41">
        <f t="shared" si="13"/>
        <v>2313883</v>
      </c>
      <c r="E205" s="53">
        <f t="shared" si="12"/>
        <v>2313883</v>
      </c>
      <c r="F205" s="53">
        <v>0</v>
      </c>
      <c r="G205" s="53">
        <v>0</v>
      </c>
      <c r="H205" s="53">
        <v>0</v>
      </c>
      <c r="I205" s="53">
        <v>2313883</v>
      </c>
      <c r="J205" s="53">
        <v>0</v>
      </c>
      <c r="K205" s="53">
        <v>0</v>
      </c>
      <c r="L205" s="54">
        <v>0</v>
      </c>
      <c r="M205" s="41">
        <v>0</v>
      </c>
      <c r="N205" s="53">
        <v>0</v>
      </c>
      <c r="O205" s="53">
        <v>0</v>
      </c>
      <c r="P205" s="80">
        <v>0</v>
      </c>
      <c r="Q205" s="53">
        <v>0</v>
      </c>
      <c r="R205" s="80">
        <v>0</v>
      </c>
      <c r="S205" s="53">
        <v>0</v>
      </c>
      <c r="T205" s="54">
        <v>0</v>
      </c>
      <c r="U205" s="167">
        <v>0</v>
      </c>
    </row>
    <row r="206" spans="2:21" s="44" customFormat="1" x14ac:dyDescent="0.25">
      <c r="B206" s="89">
        <v>76</v>
      </c>
      <c r="C206" s="160" t="s">
        <v>287</v>
      </c>
      <c r="D206" s="41">
        <f t="shared" si="13"/>
        <v>3921274</v>
      </c>
      <c r="E206" s="53">
        <f t="shared" si="12"/>
        <v>1729443</v>
      </c>
      <c r="F206" s="53">
        <v>1729443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  <c r="M206" s="41">
        <v>0</v>
      </c>
      <c r="N206" s="53">
        <v>0</v>
      </c>
      <c r="O206" s="53">
        <v>0</v>
      </c>
      <c r="P206" s="80">
        <v>0</v>
      </c>
      <c r="Q206" s="53">
        <v>0</v>
      </c>
      <c r="R206" s="80">
        <v>1434</v>
      </c>
      <c r="S206" s="53">
        <v>2191831</v>
      </c>
      <c r="T206" s="54">
        <v>0</v>
      </c>
      <c r="U206" s="167">
        <v>0</v>
      </c>
    </row>
    <row r="207" spans="2:21" s="44" customFormat="1" x14ac:dyDescent="0.25">
      <c r="B207" s="91">
        <v>77</v>
      </c>
      <c r="C207" s="160" t="s">
        <v>288</v>
      </c>
      <c r="D207" s="41">
        <f t="shared" si="13"/>
        <v>1701968</v>
      </c>
      <c r="E207" s="53">
        <f t="shared" si="12"/>
        <v>1701968</v>
      </c>
      <c r="F207" s="53">
        <v>1701968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  <c r="M207" s="41">
        <v>0</v>
      </c>
      <c r="N207" s="53">
        <v>0</v>
      </c>
      <c r="O207" s="53">
        <v>0</v>
      </c>
      <c r="P207" s="80">
        <v>0</v>
      </c>
      <c r="Q207" s="53">
        <v>0</v>
      </c>
      <c r="R207" s="80">
        <v>0</v>
      </c>
      <c r="S207" s="53">
        <v>0</v>
      </c>
      <c r="T207" s="54">
        <v>0</v>
      </c>
      <c r="U207" s="167">
        <v>0</v>
      </c>
    </row>
    <row r="208" spans="2:21" s="44" customFormat="1" x14ac:dyDescent="0.25">
      <c r="B208" s="89">
        <v>78</v>
      </c>
      <c r="C208" s="160" t="s">
        <v>289</v>
      </c>
      <c r="D208" s="41">
        <f t="shared" si="13"/>
        <v>3568952</v>
      </c>
      <c r="E208" s="53">
        <f t="shared" si="12"/>
        <v>1355402</v>
      </c>
      <c r="F208" s="53">
        <v>1355402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  <c r="M208" s="41">
        <v>0</v>
      </c>
      <c r="N208" s="53">
        <v>0</v>
      </c>
      <c r="O208" s="53">
        <v>0</v>
      </c>
      <c r="P208" s="80">
        <v>0</v>
      </c>
      <c r="Q208" s="53">
        <v>0</v>
      </c>
      <c r="R208" s="80">
        <v>1450</v>
      </c>
      <c r="S208" s="53">
        <v>2213550</v>
      </c>
      <c r="T208" s="54">
        <v>0</v>
      </c>
      <c r="U208" s="167">
        <v>0</v>
      </c>
    </row>
    <row r="209" spans="2:21" s="44" customFormat="1" x14ac:dyDescent="0.25">
      <c r="B209" s="89">
        <v>79</v>
      </c>
      <c r="C209" s="160" t="s">
        <v>290</v>
      </c>
      <c r="D209" s="41">
        <f t="shared" si="13"/>
        <v>3342485</v>
      </c>
      <c r="E209" s="53">
        <f t="shared" si="12"/>
        <v>3342485</v>
      </c>
      <c r="F209" s="53">
        <v>3342485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  <c r="M209" s="41">
        <v>0</v>
      </c>
      <c r="N209" s="53">
        <v>0</v>
      </c>
      <c r="O209" s="53">
        <v>0</v>
      </c>
      <c r="P209" s="80">
        <v>0</v>
      </c>
      <c r="Q209" s="53">
        <v>0</v>
      </c>
      <c r="R209" s="80">
        <v>0</v>
      </c>
      <c r="S209" s="53">
        <v>0</v>
      </c>
      <c r="T209" s="54">
        <v>0</v>
      </c>
      <c r="U209" s="167">
        <v>0</v>
      </c>
    </row>
    <row r="210" spans="2:21" s="44" customFormat="1" x14ac:dyDescent="0.25">
      <c r="B210" s="91">
        <v>80</v>
      </c>
      <c r="C210" s="160" t="s">
        <v>291</v>
      </c>
      <c r="D210" s="41">
        <f t="shared" si="13"/>
        <v>1174045</v>
      </c>
      <c r="E210" s="53">
        <f t="shared" si="12"/>
        <v>1174045</v>
      </c>
      <c r="F210" s="53">
        <v>0</v>
      </c>
      <c r="G210" s="53">
        <v>1174045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  <c r="M210" s="41">
        <v>0</v>
      </c>
      <c r="N210" s="53">
        <v>0</v>
      </c>
      <c r="O210" s="53">
        <v>0</v>
      </c>
      <c r="P210" s="80">
        <v>0</v>
      </c>
      <c r="Q210" s="53">
        <v>0</v>
      </c>
      <c r="R210" s="80">
        <v>0</v>
      </c>
      <c r="S210" s="53">
        <v>0</v>
      </c>
      <c r="T210" s="54">
        <v>0</v>
      </c>
      <c r="U210" s="167">
        <v>0</v>
      </c>
    </row>
    <row r="211" spans="2:21" s="44" customFormat="1" x14ac:dyDescent="0.25">
      <c r="B211" s="91">
        <v>81</v>
      </c>
      <c r="C211" s="160" t="s">
        <v>292</v>
      </c>
      <c r="D211" s="41">
        <f t="shared" si="13"/>
        <v>6969833</v>
      </c>
      <c r="E211" s="53">
        <f t="shared" si="12"/>
        <v>6969833</v>
      </c>
      <c r="F211" s="53">
        <v>0</v>
      </c>
      <c r="G211" s="53">
        <v>0</v>
      </c>
      <c r="H211" s="53">
        <v>0</v>
      </c>
      <c r="I211" s="53">
        <v>6969833</v>
      </c>
      <c r="J211" s="53">
        <v>0</v>
      </c>
      <c r="K211" s="53">
        <v>0</v>
      </c>
      <c r="L211" s="54">
        <v>0</v>
      </c>
      <c r="M211" s="41">
        <v>0</v>
      </c>
      <c r="N211" s="53">
        <v>0</v>
      </c>
      <c r="O211" s="53">
        <v>0</v>
      </c>
      <c r="P211" s="80">
        <v>0</v>
      </c>
      <c r="Q211" s="53">
        <v>0</v>
      </c>
      <c r="R211" s="80">
        <v>0</v>
      </c>
      <c r="S211" s="53">
        <v>0</v>
      </c>
      <c r="T211" s="54">
        <v>0</v>
      </c>
      <c r="U211" s="167">
        <v>0</v>
      </c>
    </row>
    <row r="212" spans="2:21" s="44" customFormat="1" x14ac:dyDescent="0.25">
      <c r="B212" s="89">
        <v>82</v>
      </c>
      <c r="C212" s="160" t="s">
        <v>293</v>
      </c>
      <c r="D212" s="41">
        <f t="shared" si="13"/>
        <v>2127173</v>
      </c>
      <c r="E212" s="53">
        <f t="shared" si="12"/>
        <v>2127173</v>
      </c>
      <c r="F212" s="53">
        <v>0</v>
      </c>
      <c r="G212" s="53">
        <v>2127173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  <c r="M212" s="41">
        <v>0</v>
      </c>
      <c r="N212" s="53">
        <v>0</v>
      </c>
      <c r="O212" s="53">
        <v>0</v>
      </c>
      <c r="P212" s="80">
        <v>0</v>
      </c>
      <c r="Q212" s="53">
        <v>0</v>
      </c>
      <c r="R212" s="80">
        <v>0</v>
      </c>
      <c r="S212" s="53">
        <v>0</v>
      </c>
      <c r="T212" s="54">
        <v>0</v>
      </c>
      <c r="U212" s="167">
        <v>0</v>
      </c>
    </row>
    <row r="213" spans="2:21" s="44" customFormat="1" x14ac:dyDescent="0.25">
      <c r="B213" s="91">
        <v>83</v>
      </c>
      <c r="C213" s="160" t="s">
        <v>294</v>
      </c>
      <c r="D213" s="41">
        <f t="shared" si="13"/>
        <v>1418636</v>
      </c>
      <c r="E213" s="53">
        <f t="shared" si="12"/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  <c r="M213" s="41">
        <v>0</v>
      </c>
      <c r="N213" s="53">
        <v>443.3</v>
      </c>
      <c r="O213" s="53">
        <v>1418636</v>
      </c>
      <c r="P213" s="80">
        <v>0</v>
      </c>
      <c r="Q213" s="53">
        <v>0</v>
      </c>
      <c r="R213" s="80">
        <v>0</v>
      </c>
      <c r="S213" s="53">
        <v>0</v>
      </c>
      <c r="T213" s="54">
        <v>0</v>
      </c>
      <c r="U213" s="167">
        <v>0</v>
      </c>
    </row>
    <row r="214" spans="2:21" s="44" customFormat="1" x14ac:dyDescent="0.25">
      <c r="B214" s="89">
        <v>84</v>
      </c>
      <c r="C214" s="160" t="s">
        <v>295</v>
      </c>
      <c r="D214" s="41">
        <f t="shared" si="13"/>
        <v>2605172</v>
      </c>
      <c r="E214" s="53">
        <f t="shared" si="12"/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  <c r="M214" s="41">
        <v>0</v>
      </c>
      <c r="N214" s="53">
        <v>1040</v>
      </c>
      <c r="O214" s="53">
        <v>2605172</v>
      </c>
      <c r="P214" s="80">
        <v>0</v>
      </c>
      <c r="Q214" s="53">
        <v>0</v>
      </c>
      <c r="R214" s="80">
        <v>0</v>
      </c>
      <c r="S214" s="53">
        <v>0</v>
      </c>
      <c r="T214" s="54">
        <v>0</v>
      </c>
      <c r="U214" s="167">
        <v>0</v>
      </c>
    </row>
    <row r="215" spans="2:21" s="44" customFormat="1" x14ac:dyDescent="0.25">
      <c r="B215" s="89">
        <v>85</v>
      </c>
      <c r="C215" s="160" t="s">
        <v>296</v>
      </c>
      <c r="D215" s="41">
        <f t="shared" si="13"/>
        <v>2870788</v>
      </c>
      <c r="E215" s="53">
        <f t="shared" si="12"/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  <c r="M215" s="41">
        <v>0</v>
      </c>
      <c r="N215" s="53">
        <v>1147</v>
      </c>
      <c r="O215" s="53">
        <v>2870788</v>
      </c>
      <c r="P215" s="80">
        <v>0</v>
      </c>
      <c r="Q215" s="53">
        <v>0</v>
      </c>
      <c r="R215" s="80">
        <v>0</v>
      </c>
      <c r="S215" s="53">
        <v>0</v>
      </c>
      <c r="T215" s="54">
        <v>0</v>
      </c>
      <c r="U215" s="167">
        <v>0</v>
      </c>
    </row>
    <row r="216" spans="2:21" s="44" customFormat="1" x14ac:dyDescent="0.25">
      <c r="B216" s="91">
        <v>86</v>
      </c>
      <c r="C216" s="160" t="s">
        <v>297</v>
      </c>
      <c r="D216" s="41">
        <f t="shared" si="13"/>
        <v>9375811</v>
      </c>
      <c r="E216" s="53">
        <f t="shared" si="12"/>
        <v>5583707</v>
      </c>
      <c r="F216" s="53">
        <v>0</v>
      </c>
      <c r="G216" s="53">
        <v>0</v>
      </c>
      <c r="H216" s="53">
        <v>0</v>
      </c>
      <c r="I216" s="53">
        <v>2113471</v>
      </c>
      <c r="J216" s="53">
        <v>2113471</v>
      </c>
      <c r="K216" s="53">
        <v>1356765</v>
      </c>
      <c r="L216" s="54">
        <v>0</v>
      </c>
      <c r="M216" s="41">
        <v>0</v>
      </c>
      <c r="N216" s="53">
        <v>1187</v>
      </c>
      <c r="O216" s="53">
        <v>3792104</v>
      </c>
      <c r="P216" s="80">
        <v>0</v>
      </c>
      <c r="Q216" s="53">
        <v>0</v>
      </c>
      <c r="R216" s="80">
        <v>0</v>
      </c>
      <c r="S216" s="53">
        <v>0</v>
      </c>
      <c r="T216" s="54">
        <v>0</v>
      </c>
      <c r="U216" s="167">
        <v>0</v>
      </c>
    </row>
    <row r="217" spans="2:21" s="44" customFormat="1" x14ac:dyDescent="0.25">
      <c r="B217" s="91">
        <v>87</v>
      </c>
      <c r="C217" s="160" t="s">
        <v>298</v>
      </c>
      <c r="D217" s="41">
        <f t="shared" si="13"/>
        <v>10032917</v>
      </c>
      <c r="E217" s="53">
        <f t="shared" si="12"/>
        <v>2408099</v>
      </c>
      <c r="F217" s="53">
        <v>0</v>
      </c>
      <c r="G217" s="53">
        <v>2408099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  <c r="M217" s="41">
        <v>0</v>
      </c>
      <c r="N217" s="53">
        <v>1187</v>
      </c>
      <c r="O217" s="53">
        <v>3790536</v>
      </c>
      <c r="P217" s="80">
        <v>0</v>
      </c>
      <c r="Q217" s="53">
        <v>0</v>
      </c>
      <c r="R217" s="80">
        <v>2528</v>
      </c>
      <c r="S217" s="53">
        <v>3834282</v>
      </c>
      <c r="T217" s="54">
        <v>0</v>
      </c>
      <c r="U217" s="167">
        <v>0</v>
      </c>
    </row>
    <row r="218" spans="2:21" s="44" customFormat="1" x14ac:dyDescent="0.25">
      <c r="B218" s="89">
        <v>88</v>
      </c>
      <c r="C218" s="160" t="s">
        <v>299</v>
      </c>
      <c r="D218" s="41">
        <f t="shared" si="13"/>
        <v>3275213</v>
      </c>
      <c r="E218" s="53">
        <f t="shared" si="12"/>
        <v>3275213</v>
      </c>
      <c r="F218" s="53">
        <v>0</v>
      </c>
      <c r="G218" s="53">
        <v>0</v>
      </c>
      <c r="H218" s="53">
        <v>0</v>
      </c>
      <c r="I218" s="53">
        <v>1994173</v>
      </c>
      <c r="J218" s="53">
        <v>0</v>
      </c>
      <c r="K218" s="53">
        <v>1281040</v>
      </c>
      <c r="L218" s="54">
        <v>0</v>
      </c>
      <c r="M218" s="41">
        <v>0</v>
      </c>
      <c r="N218" s="53">
        <v>0</v>
      </c>
      <c r="O218" s="53">
        <v>0</v>
      </c>
      <c r="P218" s="80">
        <v>0</v>
      </c>
      <c r="Q218" s="53">
        <v>0</v>
      </c>
      <c r="R218" s="80">
        <v>0</v>
      </c>
      <c r="S218" s="53">
        <v>0</v>
      </c>
      <c r="T218" s="54">
        <v>0</v>
      </c>
      <c r="U218" s="167">
        <v>0</v>
      </c>
    </row>
    <row r="219" spans="2:21" s="44" customFormat="1" x14ac:dyDescent="0.25">
      <c r="B219" s="91">
        <v>89</v>
      </c>
      <c r="C219" s="160" t="s">
        <v>300</v>
      </c>
      <c r="D219" s="41">
        <f t="shared" si="13"/>
        <v>3280210</v>
      </c>
      <c r="E219" s="53">
        <f t="shared" si="12"/>
        <v>3280210</v>
      </c>
      <c r="F219" s="53">
        <v>0</v>
      </c>
      <c r="G219" s="53">
        <v>3280210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  <c r="M219" s="41">
        <v>0</v>
      </c>
      <c r="N219" s="53">
        <v>0</v>
      </c>
      <c r="O219" s="53">
        <v>0</v>
      </c>
      <c r="P219" s="80">
        <v>0</v>
      </c>
      <c r="Q219" s="53">
        <v>0</v>
      </c>
      <c r="R219" s="80">
        <v>0</v>
      </c>
      <c r="S219" s="53">
        <v>0</v>
      </c>
      <c r="T219" s="54">
        <v>0</v>
      </c>
      <c r="U219" s="167">
        <v>0</v>
      </c>
    </row>
    <row r="220" spans="2:21" s="44" customFormat="1" x14ac:dyDescent="0.25">
      <c r="B220" s="89">
        <v>90</v>
      </c>
      <c r="C220" s="160" t="s">
        <v>301</v>
      </c>
      <c r="D220" s="41">
        <f t="shared" si="13"/>
        <v>3140751</v>
      </c>
      <c r="E220" s="53">
        <f t="shared" si="12"/>
        <v>3140751</v>
      </c>
      <c r="F220" s="53">
        <v>0</v>
      </c>
      <c r="G220" s="53">
        <v>3140751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  <c r="M220" s="41">
        <v>0</v>
      </c>
      <c r="N220" s="53">
        <v>0</v>
      </c>
      <c r="O220" s="53">
        <v>0</v>
      </c>
      <c r="P220" s="80">
        <v>0</v>
      </c>
      <c r="Q220" s="53">
        <v>0</v>
      </c>
      <c r="R220" s="80">
        <v>0</v>
      </c>
      <c r="S220" s="53">
        <v>0</v>
      </c>
      <c r="T220" s="54">
        <v>0</v>
      </c>
      <c r="U220" s="167">
        <v>0</v>
      </c>
    </row>
    <row r="221" spans="2:21" s="44" customFormat="1" x14ac:dyDescent="0.25">
      <c r="B221" s="89">
        <v>91</v>
      </c>
      <c r="C221" s="160" t="s">
        <v>302</v>
      </c>
      <c r="D221" s="41">
        <f t="shared" si="13"/>
        <v>3932928</v>
      </c>
      <c r="E221" s="53">
        <f t="shared" si="12"/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2</v>
      </c>
      <c r="M221" s="41">
        <v>3932928</v>
      </c>
      <c r="N221" s="53">
        <v>0</v>
      </c>
      <c r="O221" s="53">
        <v>0</v>
      </c>
      <c r="P221" s="80">
        <v>0</v>
      </c>
      <c r="Q221" s="53">
        <v>0</v>
      </c>
      <c r="R221" s="80">
        <v>0</v>
      </c>
      <c r="S221" s="53">
        <v>0</v>
      </c>
      <c r="T221" s="54">
        <v>0</v>
      </c>
      <c r="U221" s="167">
        <v>0</v>
      </c>
    </row>
    <row r="222" spans="2:21" s="44" customFormat="1" x14ac:dyDescent="0.25">
      <c r="B222" s="91">
        <v>92</v>
      </c>
      <c r="C222" s="160" t="s">
        <v>303</v>
      </c>
      <c r="D222" s="41">
        <f t="shared" si="13"/>
        <v>1922176</v>
      </c>
      <c r="E222" s="53">
        <f t="shared" si="12"/>
        <v>1502478</v>
      </c>
      <c r="F222" s="53">
        <v>1502478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  <c r="M222" s="41">
        <v>0</v>
      </c>
      <c r="N222" s="53">
        <v>0</v>
      </c>
      <c r="O222" s="53">
        <v>0</v>
      </c>
      <c r="P222" s="80">
        <v>409.3</v>
      </c>
      <c r="Q222" s="53">
        <v>419698</v>
      </c>
      <c r="R222" s="80">
        <v>0</v>
      </c>
      <c r="S222" s="53">
        <v>0</v>
      </c>
      <c r="T222" s="54">
        <v>0</v>
      </c>
      <c r="U222" s="167">
        <v>0</v>
      </c>
    </row>
    <row r="223" spans="2:21" s="44" customFormat="1" x14ac:dyDescent="0.25">
      <c r="B223" s="91">
        <v>93</v>
      </c>
      <c r="C223" s="160" t="s">
        <v>304</v>
      </c>
      <c r="D223" s="41">
        <f t="shared" si="13"/>
        <v>3919687</v>
      </c>
      <c r="E223" s="53">
        <f t="shared" si="12"/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2</v>
      </c>
      <c r="M223" s="41">
        <v>3919687</v>
      </c>
      <c r="N223" s="53">
        <v>0</v>
      </c>
      <c r="O223" s="53">
        <v>0</v>
      </c>
      <c r="P223" s="80">
        <v>0</v>
      </c>
      <c r="Q223" s="53">
        <v>0</v>
      </c>
      <c r="R223" s="80">
        <v>0</v>
      </c>
      <c r="S223" s="53">
        <v>0</v>
      </c>
      <c r="T223" s="54">
        <v>0</v>
      </c>
      <c r="U223" s="167">
        <v>0</v>
      </c>
    </row>
    <row r="224" spans="2:21" s="44" customFormat="1" x14ac:dyDescent="0.25">
      <c r="B224" s="89">
        <v>94</v>
      </c>
      <c r="C224" s="160" t="s">
        <v>374</v>
      </c>
      <c r="D224" s="41">
        <f t="shared" si="13"/>
        <v>807803</v>
      </c>
      <c r="E224" s="53">
        <f t="shared" si="12"/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  <c r="M224" s="41">
        <v>0</v>
      </c>
      <c r="N224" s="53">
        <v>249</v>
      </c>
      <c r="O224" s="53">
        <v>807803</v>
      </c>
      <c r="P224" s="80">
        <v>0</v>
      </c>
      <c r="Q224" s="53">
        <v>0</v>
      </c>
      <c r="R224" s="80">
        <v>0</v>
      </c>
      <c r="S224" s="53">
        <v>0</v>
      </c>
      <c r="T224" s="54">
        <v>0</v>
      </c>
      <c r="U224" s="167">
        <v>0</v>
      </c>
    </row>
    <row r="225" spans="2:21" s="44" customFormat="1" x14ac:dyDescent="0.25">
      <c r="B225" s="91">
        <v>95</v>
      </c>
      <c r="C225" s="163" t="s">
        <v>305</v>
      </c>
      <c r="D225" s="41">
        <f t="shared" si="13"/>
        <v>2097582</v>
      </c>
      <c r="E225" s="53">
        <f t="shared" si="12"/>
        <v>310509</v>
      </c>
      <c r="F225" s="53">
        <v>310509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  <c r="M225" s="41">
        <v>0</v>
      </c>
      <c r="N225" s="53">
        <v>337.5</v>
      </c>
      <c r="O225" s="53">
        <v>1086532</v>
      </c>
      <c r="P225" s="80">
        <v>0</v>
      </c>
      <c r="Q225" s="53">
        <v>0</v>
      </c>
      <c r="R225" s="80">
        <v>456.2</v>
      </c>
      <c r="S225" s="53">
        <v>700541</v>
      </c>
      <c r="T225" s="54">
        <v>0</v>
      </c>
      <c r="U225" s="167">
        <v>0</v>
      </c>
    </row>
    <row r="226" spans="2:21" s="44" customFormat="1" x14ac:dyDescent="0.25">
      <c r="B226" s="89">
        <v>96</v>
      </c>
      <c r="C226" s="160" t="s">
        <v>306</v>
      </c>
      <c r="D226" s="41">
        <f t="shared" si="13"/>
        <v>1010192</v>
      </c>
      <c r="E226" s="53">
        <f t="shared" si="12"/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  <c r="M226" s="41">
        <v>0</v>
      </c>
      <c r="N226" s="53">
        <v>313.2</v>
      </c>
      <c r="O226" s="53">
        <v>1010192</v>
      </c>
      <c r="P226" s="80">
        <v>0</v>
      </c>
      <c r="Q226" s="53">
        <v>0</v>
      </c>
      <c r="R226" s="80">
        <v>0</v>
      </c>
      <c r="S226" s="53">
        <v>0</v>
      </c>
      <c r="T226" s="54">
        <v>0</v>
      </c>
      <c r="U226" s="167">
        <v>0</v>
      </c>
    </row>
    <row r="227" spans="2:21" s="44" customFormat="1" x14ac:dyDescent="0.25">
      <c r="B227" s="89">
        <v>97</v>
      </c>
      <c r="C227" s="164" t="s">
        <v>307</v>
      </c>
      <c r="D227" s="41">
        <f t="shared" si="13"/>
        <v>211148</v>
      </c>
      <c r="E227" s="53">
        <f t="shared" si="12"/>
        <v>211148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211148</v>
      </c>
      <c r="L227" s="54">
        <v>0</v>
      </c>
      <c r="M227" s="41">
        <v>0</v>
      </c>
      <c r="N227" s="53">
        <v>0</v>
      </c>
      <c r="O227" s="53">
        <v>0</v>
      </c>
      <c r="P227" s="80">
        <v>0</v>
      </c>
      <c r="Q227" s="53">
        <v>0</v>
      </c>
      <c r="R227" s="80">
        <v>0</v>
      </c>
      <c r="S227" s="53">
        <v>0</v>
      </c>
      <c r="T227" s="54">
        <v>0</v>
      </c>
      <c r="U227" s="167">
        <v>0</v>
      </c>
    </row>
    <row r="228" spans="2:21" s="44" customFormat="1" x14ac:dyDescent="0.25">
      <c r="B228" s="91">
        <v>98</v>
      </c>
      <c r="C228" s="160" t="s">
        <v>308</v>
      </c>
      <c r="D228" s="41">
        <f t="shared" si="13"/>
        <v>5492477</v>
      </c>
      <c r="E228" s="53">
        <f t="shared" si="12"/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  <c r="M228" s="41">
        <v>0</v>
      </c>
      <c r="N228" s="53">
        <v>2192.4</v>
      </c>
      <c r="O228" s="53">
        <v>5492477</v>
      </c>
      <c r="P228" s="80">
        <v>0</v>
      </c>
      <c r="Q228" s="53">
        <v>0</v>
      </c>
      <c r="R228" s="80">
        <v>0</v>
      </c>
      <c r="S228" s="53">
        <v>0</v>
      </c>
      <c r="T228" s="54">
        <v>0</v>
      </c>
      <c r="U228" s="167">
        <v>0</v>
      </c>
    </row>
    <row r="229" spans="2:21" s="44" customFormat="1" x14ac:dyDescent="0.25">
      <c r="B229" s="91">
        <v>99</v>
      </c>
      <c r="C229" s="160" t="s">
        <v>309</v>
      </c>
      <c r="D229" s="41">
        <f t="shared" si="13"/>
        <v>777129</v>
      </c>
      <c r="E229" s="53">
        <f t="shared" si="12"/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  <c r="M229" s="41">
        <v>0</v>
      </c>
      <c r="N229" s="53">
        <v>0</v>
      </c>
      <c r="O229" s="53">
        <v>0</v>
      </c>
      <c r="P229" s="80">
        <v>0</v>
      </c>
      <c r="Q229" s="53">
        <v>0</v>
      </c>
      <c r="R229" s="80">
        <v>497</v>
      </c>
      <c r="S229" s="53">
        <v>777129</v>
      </c>
      <c r="T229" s="54">
        <v>0</v>
      </c>
      <c r="U229" s="167">
        <v>0</v>
      </c>
    </row>
    <row r="230" spans="2:21" s="44" customFormat="1" x14ac:dyDescent="0.25">
      <c r="B230" s="89">
        <v>100</v>
      </c>
      <c r="C230" s="160" t="s">
        <v>193</v>
      </c>
      <c r="D230" s="41">
        <f t="shared" si="13"/>
        <v>1353361</v>
      </c>
      <c r="E230" s="53">
        <f t="shared" si="12"/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  <c r="M230" s="41">
        <v>0</v>
      </c>
      <c r="N230" s="53">
        <v>530</v>
      </c>
      <c r="O230" s="53">
        <v>1353361</v>
      </c>
      <c r="P230" s="80">
        <v>0</v>
      </c>
      <c r="Q230" s="53">
        <v>0</v>
      </c>
      <c r="R230" s="80">
        <v>0</v>
      </c>
      <c r="S230" s="53">
        <v>0</v>
      </c>
      <c r="T230" s="54">
        <v>0</v>
      </c>
      <c r="U230" s="167">
        <v>0</v>
      </c>
    </row>
    <row r="231" spans="2:21" s="44" customFormat="1" x14ac:dyDescent="0.25">
      <c r="B231" s="91">
        <v>101</v>
      </c>
      <c r="C231" s="160" t="s">
        <v>384</v>
      </c>
      <c r="D231" s="41">
        <f t="shared" si="13"/>
        <v>4456772</v>
      </c>
      <c r="E231" s="53">
        <f t="shared" si="12"/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  <c r="M231" s="41">
        <v>1967195</v>
      </c>
      <c r="N231" s="53">
        <v>988</v>
      </c>
      <c r="O231" s="53">
        <v>2489577</v>
      </c>
      <c r="P231" s="80">
        <v>0</v>
      </c>
      <c r="Q231" s="53">
        <v>0</v>
      </c>
      <c r="R231" s="80">
        <v>0</v>
      </c>
      <c r="S231" s="53">
        <v>0</v>
      </c>
      <c r="T231" s="54">
        <v>0</v>
      </c>
      <c r="U231" s="167">
        <v>0</v>
      </c>
    </row>
    <row r="232" spans="2:21" s="44" customFormat="1" x14ac:dyDescent="0.25">
      <c r="B232" s="89">
        <v>102</v>
      </c>
      <c r="C232" s="160" t="s">
        <v>310</v>
      </c>
      <c r="D232" s="41">
        <f t="shared" si="13"/>
        <v>3922227</v>
      </c>
      <c r="E232" s="53">
        <f t="shared" si="12"/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2</v>
      </c>
      <c r="M232" s="41">
        <v>3922227</v>
      </c>
      <c r="N232" s="53">
        <v>0</v>
      </c>
      <c r="O232" s="53">
        <v>0</v>
      </c>
      <c r="P232" s="80">
        <v>0</v>
      </c>
      <c r="Q232" s="53">
        <v>0</v>
      </c>
      <c r="R232" s="80">
        <v>0</v>
      </c>
      <c r="S232" s="53">
        <v>0</v>
      </c>
      <c r="T232" s="54">
        <v>0</v>
      </c>
      <c r="U232" s="167">
        <v>0</v>
      </c>
    </row>
    <row r="233" spans="2:21" s="44" customFormat="1" x14ac:dyDescent="0.25">
      <c r="B233" s="89">
        <v>103</v>
      </c>
      <c r="C233" s="160" t="s">
        <v>311</v>
      </c>
      <c r="D233" s="41">
        <f t="shared" si="13"/>
        <v>12879226</v>
      </c>
      <c r="E233" s="53">
        <f t="shared" si="12"/>
        <v>8389090</v>
      </c>
      <c r="F233" s="53">
        <v>8389090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  <c r="M233" s="41">
        <v>0</v>
      </c>
      <c r="N233" s="53">
        <v>1789</v>
      </c>
      <c r="O233" s="53">
        <v>4490136</v>
      </c>
      <c r="P233" s="80">
        <v>0</v>
      </c>
      <c r="Q233" s="53">
        <v>0</v>
      </c>
      <c r="R233" s="80">
        <v>0</v>
      </c>
      <c r="S233" s="53">
        <v>0</v>
      </c>
      <c r="T233" s="54">
        <v>0</v>
      </c>
      <c r="U233" s="167">
        <v>0</v>
      </c>
    </row>
    <row r="234" spans="2:21" s="44" customFormat="1" x14ac:dyDescent="0.25">
      <c r="B234" s="91">
        <v>104</v>
      </c>
      <c r="C234" s="165" t="s">
        <v>312</v>
      </c>
      <c r="D234" s="41">
        <f t="shared" si="13"/>
        <v>2583706</v>
      </c>
      <c r="E234" s="53">
        <f t="shared" si="12"/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  <c r="M234" s="41">
        <v>0</v>
      </c>
      <c r="N234" s="53">
        <v>1026</v>
      </c>
      <c r="O234" s="53">
        <v>2583706</v>
      </c>
      <c r="P234" s="80">
        <v>0</v>
      </c>
      <c r="Q234" s="53">
        <v>0</v>
      </c>
      <c r="R234" s="80">
        <v>0</v>
      </c>
      <c r="S234" s="53">
        <v>0</v>
      </c>
      <c r="T234" s="54">
        <v>0</v>
      </c>
      <c r="U234" s="167">
        <v>0</v>
      </c>
    </row>
    <row r="235" spans="2:21" s="44" customFormat="1" x14ac:dyDescent="0.25">
      <c r="B235" s="91">
        <v>105</v>
      </c>
      <c r="C235" s="160" t="s">
        <v>313</v>
      </c>
      <c r="D235" s="41">
        <f t="shared" si="13"/>
        <v>7327447</v>
      </c>
      <c r="E235" s="53">
        <f t="shared" si="12"/>
        <v>4982967</v>
      </c>
      <c r="F235" s="53">
        <v>0</v>
      </c>
      <c r="G235" s="53">
        <v>0</v>
      </c>
      <c r="H235" s="53">
        <v>0</v>
      </c>
      <c r="I235" s="53">
        <v>0</v>
      </c>
      <c r="J235" s="53">
        <v>4982967</v>
      </c>
      <c r="K235" s="53">
        <v>0</v>
      </c>
      <c r="L235" s="54">
        <v>0</v>
      </c>
      <c r="M235" s="41">
        <v>0</v>
      </c>
      <c r="N235" s="53">
        <v>927</v>
      </c>
      <c r="O235" s="53">
        <v>2344480</v>
      </c>
      <c r="P235" s="80">
        <v>0</v>
      </c>
      <c r="Q235" s="53">
        <v>0</v>
      </c>
      <c r="R235" s="80">
        <v>0</v>
      </c>
      <c r="S235" s="53">
        <v>0</v>
      </c>
      <c r="T235" s="54">
        <v>0</v>
      </c>
      <c r="U235" s="167">
        <v>0</v>
      </c>
    </row>
    <row r="236" spans="2:21" s="44" customFormat="1" x14ac:dyDescent="0.25">
      <c r="B236" s="89">
        <v>106</v>
      </c>
      <c r="C236" s="160" t="s">
        <v>314</v>
      </c>
      <c r="D236" s="41">
        <f t="shared" si="13"/>
        <v>868822</v>
      </c>
      <c r="E236" s="53">
        <f t="shared" si="12"/>
        <v>868822</v>
      </c>
      <c r="F236" s="53">
        <v>868822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  <c r="M236" s="41">
        <v>0</v>
      </c>
      <c r="N236" s="53">
        <v>0</v>
      </c>
      <c r="O236" s="53">
        <v>0</v>
      </c>
      <c r="P236" s="80">
        <v>0</v>
      </c>
      <c r="Q236" s="53">
        <v>0</v>
      </c>
      <c r="R236" s="80">
        <v>0</v>
      </c>
      <c r="S236" s="53">
        <v>0</v>
      </c>
      <c r="T236" s="54">
        <v>0</v>
      </c>
      <c r="U236" s="167">
        <v>0</v>
      </c>
    </row>
    <row r="237" spans="2:21" s="44" customFormat="1" x14ac:dyDescent="0.25">
      <c r="B237" s="91">
        <v>107</v>
      </c>
      <c r="C237" s="164" t="s">
        <v>315</v>
      </c>
      <c r="D237" s="41">
        <f t="shared" si="13"/>
        <v>1466735</v>
      </c>
      <c r="E237" s="53">
        <f t="shared" si="12"/>
        <v>686063</v>
      </c>
      <c r="F237" s="53">
        <v>0</v>
      </c>
      <c r="G237" s="53">
        <v>0</v>
      </c>
      <c r="H237" s="53">
        <v>0</v>
      </c>
      <c r="I237" s="53">
        <v>417412</v>
      </c>
      <c r="J237" s="53">
        <v>0</v>
      </c>
      <c r="K237" s="53">
        <v>268651</v>
      </c>
      <c r="L237" s="54">
        <v>0</v>
      </c>
      <c r="M237" s="41">
        <v>0</v>
      </c>
      <c r="N237" s="53">
        <v>0</v>
      </c>
      <c r="O237" s="53">
        <v>0</v>
      </c>
      <c r="P237" s="80">
        <v>0</v>
      </c>
      <c r="Q237" s="53">
        <v>0</v>
      </c>
      <c r="R237" s="80">
        <v>501.6</v>
      </c>
      <c r="S237" s="53">
        <v>780672</v>
      </c>
      <c r="T237" s="54">
        <v>0</v>
      </c>
      <c r="U237" s="167">
        <v>0</v>
      </c>
    </row>
    <row r="238" spans="2:21" s="44" customFormat="1" x14ac:dyDescent="0.25">
      <c r="B238" s="89">
        <v>108</v>
      </c>
      <c r="C238" s="160" t="s">
        <v>316</v>
      </c>
      <c r="D238" s="41">
        <f t="shared" si="13"/>
        <v>1794824</v>
      </c>
      <c r="E238" s="53">
        <f t="shared" si="12"/>
        <v>1794824</v>
      </c>
      <c r="F238" s="53">
        <v>0</v>
      </c>
      <c r="G238" s="53">
        <v>0</v>
      </c>
      <c r="H238" s="53">
        <v>0</v>
      </c>
      <c r="I238" s="53">
        <v>1092956</v>
      </c>
      <c r="J238" s="53">
        <v>0</v>
      </c>
      <c r="K238" s="53">
        <v>701868</v>
      </c>
      <c r="L238" s="54">
        <v>0</v>
      </c>
      <c r="M238" s="41">
        <v>0</v>
      </c>
      <c r="N238" s="53">
        <v>0</v>
      </c>
      <c r="O238" s="53">
        <v>0</v>
      </c>
      <c r="P238" s="80">
        <v>0</v>
      </c>
      <c r="Q238" s="53">
        <v>0</v>
      </c>
      <c r="R238" s="80">
        <v>0</v>
      </c>
      <c r="S238" s="53">
        <v>0</v>
      </c>
      <c r="T238" s="54">
        <v>0</v>
      </c>
      <c r="U238" s="167">
        <v>0</v>
      </c>
    </row>
    <row r="239" spans="2:21" s="44" customFormat="1" x14ac:dyDescent="0.25">
      <c r="B239" s="89">
        <v>109</v>
      </c>
      <c r="C239" s="160" t="s">
        <v>317</v>
      </c>
      <c r="D239" s="41">
        <f t="shared" si="13"/>
        <v>1815954</v>
      </c>
      <c r="E239" s="53">
        <f t="shared" si="12"/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  <c r="M239" s="41">
        <v>0</v>
      </c>
      <c r="N239" s="53">
        <v>569.29999999999995</v>
      </c>
      <c r="O239" s="53">
        <v>1815954</v>
      </c>
      <c r="P239" s="80">
        <v>0</v>
      </c>
      <c r="Q239" s="53">
        <v>0</v>
      </c>
      <c r="R239" s="80">
        <v>0</v>
      </c>
      <c r="S239" s="53">
        <v>0</v>
      </c>
      <c r="T239" s="54">
        <v>0</v>
      </c>
      <c r="U239" s="167">
        <v>0</v>
      </c>
    </row>
    <row r="240" spans="2:21" s="44" customFormat="1" x14ac:dyDescent="0.25">
      <c r="B240" s="91">
        <v>110</v>
      </c>
      <c r="C240" s="163" t="s">
        <v>318</v>
      </c>
      <c r="D240" s="41">
        <f t="shared" si="13"/>
        <v>1842648</v>
      </c>
      <c r="E240" s="53">
        <f t="shared" si="12"/>
        <v>453381</v>
      </c>
      <c r="F240" s="53">
        <v>209209</v>
      </c>
      <c r="G240" s="53">
        <v>0</v>
      </c>
      <c r="H240" s="53">
        <v>0</v>
      </c>
      <c r="I240" s="53">
        <v>244172</v>
      </c>
      <c r="J240" s="53">
        <v>0</v>
      </c>
      <c r="K240" s="53">
        <v>0</v>
      </c>
      <c r="L240" s="54">
        <v>0</v>
      </c>
      <c r="M240" s="41">
        <v>0</v>
      </c>
      <c r="N240" s="53">
        <v>253.4</v>
      </c>
      <c r="O240" s="53">
        <v>821463</v>
      </c>
      <c r="P240" s="80">
        <v>0</v>
      </c>
      <c r="Q240" s="53">
        <v>0</v>
      </c>
      <c r="R240" s="80">
        <v>368.26</v>
      </c>
      <c r="S240" s="53">
        <v>567804</v>
      </c>
      <c r="T240" s="54">
        <v>0</v>
      </c>
      <c r="U240" s="167">
        <v>0</v>
      </c>
    </row>
    <row r="241" spans="2:21" s="44" customFormat="1" x14ac:dyDescent="0.25">
      <c r="B241" s="91">
        <v>111</v>
      </c>
      <c r="C241" s="160" t="s">
        <v>319</v>
      </c>
      <c r="D241" s="41">
        <f t="shared" si="13"/>
        <v>9886188</v>
      </c>
      <c r="E241" s="53">
        <f t="shared" si="12"/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5</v>
      </c>
      <c r="M241" s="41">
        <v>9886188</v>
      </c>
      <c r="N241" s="53">
        <v>0</v>
      </c>
      <c r="O241" s="53">
        <v>0</v>
      </c>
      <c r="P241" s="80">
        <v>0</v>
      </c>
      <c r="Q241" s="53">
        <v>0</v>
      </c>
      <c r="R241" s="80">
        <v>0</v>
      </c>
      <c r="S241" s="53">
        <v>0</v>
      </c>
      <c r="T241" s="54">
        <v>0</v>
      </c>
      <c r="U241" s="167">
        <v>0</v>
      </c>
    </row>
    <row r="242" spans="2:21" s="44" customFormat="1" x14ac:dyDescent="0.25">
      <c r="B242" s="89">
        <v>112</v>
      </c>
      <c r="C242" s="160" t="s">
        <v>320</v>
      </c>
      <c r="D242" s="41">
        <f t="shared" si="13"/>
        <v>749258</v>
      </c>
      <c r="E242" s="53">
        <f t="shared" si="12"/>
        <v>749258</v>
      </c>
      <c r="F242" s="53">
        <v>0</v>
      </c>
      <c r="G242" s="53">
        <v>749258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  <c r="M242" s="41">
        <v>0</v>
      </c>
      <c r="N242" s="53">
        <v>0</v>
      </c>
      <c r="O242" s="53">
        <v>0</v>
      </c>
      <c r="P242" s="80">
        <v>0</v>
      </c>
      <c r="Q242" s="53">
        <v>0</v>
      </c>
      <c r="R242" s="80">
        <v>0</v>
      </c>
      <c r="S242" s="53">
        <v>0</v>
      </c>
      <c r="T242" s="54">
        <v>0</v>
      </c>
      <c r="U242" s="167">
        <v>0</v>
      </c>
    </row>
    <row r="243" spans="2:21" s="44" customFormat="1" x14ac:dyDescent="0.25">
      <c r="B243" s="91">
        <v>113</v>
      </c>
      <c r="C243" s="160" t="s">
        <v>321</v>
      </c>
      <c r="D243" s="41">
        <f t="shared" si="13"/>
        <v>5841716</v>
      </c>
      <c r="E243" s="53">
        <f t="shared" si="12"/>
        <v>5841716</v>
      </c>
      <c r="F243" s="53">
        <v>0</v>
      </c>
      <c r="G243" s="53">
        <v>0</v>
      </c>
      <c r="H243" s="53">
        <v>0</v>
      </c>
      <c r="I243" s="53">
        <v>2211494</v>
      </c>
      <c r="J243" s="53">
        <v>2211494</v>
      </c>
      <c r="K243" s="53">
        <v>1418728</v>
      </c>
      <c r="L243" s="54">
        <v>0</v>
      </c>
      <c r="M243" s="41">
        <v>0</v>
      </c>
      <c r="N243" s="53">
        <v>0</v>
      </c>
      <c r="O243" s="53">
        <v>0</v>
      </c>
      <c r="P243" s="80">
        <v>0</v>
      </c>
      <c r="Q243" s="53">
        <v>0</v>
      </c>
      <c r="R243" s="80">
        <v>0</v>
      </c>
      <c r="S243" s="53">
        <v>0</v>
      </c>
      <c r="T243" s="54">
        <v>0</v>
      </c>
      <c r="U243" s="167">
        <v>0</v>
      </c>
    </row>
    <row r="244" spans="2:21" s="44" customFormat="1" x14ac:dyDescent="0.25">
      <c r="B244" s="89">
        <v>114</v>
      </c>
      <c r="C244" s="160" t="s">
        <v>322</v>
      </c>
      <c r="D244" s="41">
        <f t="shared" si="13"/>
        <v>2901889</v>
      </c>
      <c r="E244" s="53">
        <f t="shared" si="12"/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  <c r="M244" s="41">
        <v>0</v>
      </c>
      <c r="N244" s="53">
        <v>0</v>
      </c>
      <c r="O244" s="53">
        <v>0</v>
      </c>
      <c r="P244" s="80">
        <v>0</v>
      </c>
      <c r="Q244" s="53">
        <v>0</v>
      </c>
      <c r="R244" s="80">
        <v>1899</v>
      </c>
      <c r="S244" s="53">
        <v>2901889</v>
      </c>
      <c r="T244" s="54">
        <v>0</v>
      </c>
      <c r="U244" s="167">
        <v>0</v>
      </c>
    </row>
    <row r="245" spans="2:21" s="44" customFormat="1" x14ac:dyDescent="0.25">
      <c r="B245" s="89">
        <v>115</v>
      </c>
      <c r="C245" s="160" t="s">
        <v>323</v>
      </c>
      <c r="D245" s="41">
        <f t="shared" si="13"/>
        <v>2935693</v>
      </c>
      <c r="E245" s="53">
        <f t="shared" si="12"/>
        <v>2935693</v>
      </c>
      <c r="F245" s="53">
        <v>0</v>
      </c>
      <c r="G245" s="53">
        <v>2935693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  <c r="M245" s="41">
        <v>0</v>
      </c>
      <c r="N245" s="53">
        <v>0</v>
      </c>
      <c r="O245" s="53">
        <v>0</v>
      </c>
      <c r="P245" s="80">
        <v>0</v>
      </c>
      <c r="Q245" s="53">
        <v>0</v>
      </c>
      <c r="R245" s="80">
        <v>0</v>
      </c>
      <c r="S245" s="53">
        <v>0</v>
      </c>
      <c r="T245" s="54">
        <v>0</v>
      </c>
      <c r="U245" s="167">
        <v>0</v>
      </c>
    </row>
    <row r="246" spans="2:21" s="44" customFormat="1" x14ac:dyDescent="0.25">
      <c r="B246" s="91">
        <v>116</v>
      </c>
      <c r="C246" s="160" t="s">
        <v>324</v>
      </c>
      <c r="D246" s="41">
        <f t="shared" si="13"/>
        <v>5703793</v>
      </c>
      <c r="E246" s="53">
        <f t="shared" si="12"/>
        <v>5703793</v>
      </c>
      <c r="F246" s="53">
        <v>0</v>
      </c>
      <c r="G246" s="53">
        <v>2068673</v>
      </c>
      <c r="H246" s="53">
        <v>0</v>
      </c>
      <c r="I246" s="53">
        <v>1817560</v>
      </c>
      <c r="J246" s="53">
        <v>1817560</v>
      </c>
      <c r="K246" s="53">
        <v>0</v>
      </c>
      <c r="L246" s="54">
        <v>0</v>
      </c>
      <c r="M246" s="41">
        <v>0</v>
      </c>
      <c r="N246" s="53">
        <v>0</v>
      </c>
      <c r="O246" s="53">
        <v>0</v>
      </c>
      <c r="P246" s="80">
        <v>0</v>
      </c>
      <c r="Q246" s="53">
        <v>0</v>
      </c>
      <c r="R246" s="80">
        <v>0</v>
      </c>
      <c r="S246" s="53">
        <v>0</v>
      </c>
      <c r="T246" s="54">
        <v>0</v>
      </c>
      <c r="U246" s="167">
        <v>0</v>
      </c>
    </row>
    <row r="247" spans="2:21" s="44" customFormat="1" x14ac:dyDescent="0.25">
      <c r="B247" s="91">
        <v>117</v>
      </c>
      <c r="C247" s="166" t="s">
        <v>170</v>
      </c>
      <c r="D247" s="41">
        <f t="shared" si="13"/>
        <v>1864763</v>
      </c>
      <c r="E247" s="53">
        <f t="shared" si="12"/>
        <v>1864763</v>
      </c>
      <c r="F247" s="53">
        <v>0</v>
      </c>
      <c r="G247" s="53">
        <v>994468</v>
      </c>
      <c r="H247" s="53">
        <v>0</v>
      </c>
      <c r="I247" s="53">
        <v>870295</v>
      </c>
      <c r="J247" s="53">
        <v>0</v>
      </c>
      <c r="K247" s="53">
        <v>0</v>
      </c>
      <c r="L247" s="54">
        <v>0</v>
      </c>
      <c r="M247" s="41">
        <v>0</v>
      </c>
      <c r="N247" s="53">
        <v>0</v>
      </c>
      <c r="O247" s="53">
        <v>0</v>
      </c>
      <c r="P247" s="80">
        <v>0</v>
      </c>
      <c r="Q247" s="53">
        <v>0</v>
      </c>
      <c r="R247" s="80">
        <v>0</v>
      </c>
      <c r="S247" s="53">
        <v>0</v>
      </c>
      <c r="T247" s="54">
        <v>0</v>
      </c>
      <c r="U247" s="167">
        <v>0</v>
      </c>
    </row>
    <row r="248" spans="2:21" s="44" customFormat="1" x14ac:dyDescent="0.25">
      <c r="B248" s="89">
        <v>118</v>
      </c>
      <c r="C248" s="166" t="s">
        <v>325</v>
      </c>
      <c r="D248" s="41">
        <f t="shared" si="13"/>
        <v>3615367</v>
      </c>
      <c r="E248" s="53">
        <f t="shared" si="12"/>
        <v>3615367</v>
      </c>
      <c r="F248" s="53">
        <v>0</v>
      </c>
      <c r="G248" s="53">
        <v>1091430</v>
      </c>
      <c r="H248" s="53">
        <v>0</v>
      </c>
      <c r="I248" s="53">
        <v>954902</v>
      </c>
      <c r="J248" s="53">
        <v>954902</v>
      </c>
      <c r="K248" s="53">
        <v>614133</v>
      </c>
      <c r="L248" s="54">
        <v>0</v>
      </c>
      <c r="M248" s="41">
        <v>0</v>
      </c>
      <c r="N248" s="53">
        <v>0</v>
      </c>
      <c r="O248" s="53">
        <v>0</v>
      </c>
      <c r="P248" s="80">
        <v>0</v>
      </c>
      <c r="Q248" s="53">
        <v>0</v>
      </c>
      <c r="R248" s="80">
        <v>0</v>
      </c>
      <c r="S248" s="53">
        <v>0</v>
      </c>
      <c r="T248" s="54">
        <v>0</v>
      </c>
      <c r="U248" s="167">
        <v>0</v>
      </c>
    </row>
    <row r="249" spans="2:21" s="44" customFormat="1" x14ac:dyDescent="0.25">
      <c r="B249" s="91">
        <v>119</v>
      </c>
      <c r="C249" s="160" t="s">
        <v>326</v>
      </c>
      <c r="D249" s="41">
        <f t="shared" si="13"/>
        <v>5773986</v>
      </c>
      <c r="E249" s="53">
        <f t="shared" si="12"/>
        <v>5773986</v>
      </c>
      <c r="F249" s="53">
        <v>0</v>
      </c>
      <c r="G249" s="53">
        <v>0</v>
      </c>
      <c r="H249" s="53">
        <v>0</v>
      </c>
      <c r="I249" s="53">
        <v>2886993</v>
      </c>
      <c r="J249" s="53">
        <v>2886993</v>
      </c>
      <c r="K249" s="53">
        <v>0</v>
      </c>
      <c r="L249" s="54">
        <v>0</v>
      </c>
      <c r="M249" s="41">
        <v>0</v>
      </c>
      <c r="N249" s="53">
        <v>0</v>
      </c>
      <c r="O249" s="53">
        <v>0</v>
      </c>
      <c r="P249" s="80">
        <v>0</v>
      </c>
      <c r="Q249" s="53">
        <v>0</v>
      </c>
      <c r="R249" s="80">
        <v>0</v>
      </c>
      <c r="S249" s="53">
        <v>0</v>
      </c>
      <c r="T249" s="54">
        <v>0</v>
      </c>
      <c r="U249" s="167">
        <v>0</v>
      </c>
    </row>
    <row r="250" spans="2:21" s="44" customFormat="1" x14ac:dyDescent="0.25">
      <c r="B250" s="89">
        <v>120</v>
      </c>
      <c r="C250" s="160" t="s">
        <v>327</v>
      </c>
      <c r="D250" s="41">
        <f t="shared" si="13"/>
        <v>3939943</v>
      </c>
      <c r="E250" s="53">
        <f t="shared" si="12"/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2</v>
      </c>
      <c r="M250" s="41">
        <v>3939943</v>
      </c>
      <c r="N250" s="53">
        <v>0</v>
      </c>
      <c r="O250" s="53">
        <v>0</v>
      </c>
      <c r="P250" s="80">
        <v>0</v>
      </c>
      <c r="Q250" s="53">
        <v>0</v>
      </c>
      <c r="R250" s="80">
        <v>0</v>
      </c>
      <c r="S250" s="53">
        <v>0</v>
      </c>
      <c r="T250" s="54">
        <v>0</v>
      </c>
      <c r="U250" s="167">
        <v>0</v>
      </c>
    </row>
    <row r="251" spans="2:21" s="44" customFormat="1" x14ac:dyDescent="0.25">
      <c r="B251" s="89">
        <v>121</v>
      </c>
      <c r="C251" s="160" t="s">
        <v>328</v>
      </c>
      <c r="D251" s="41">
        <f t="shared" si="13"/>
        <v>13856490</v>
      </c>
      <c r="E251" s="53">
        <f t="shared" si="12"/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5</v>
      </c>
      <c r="M251" s="41">
        <v>9841631</v>
      </c>
      <c r="N251" s="53">
        <v>1600</v>
      </c>
      <c r="O251" s="53">
        <v>4014859</v>
      </c>
      <c r="P251" s="80">
        <v>0</v>
      </c>
      <c r="Q251" s="53">
        <v>0</v>
      </c>
      <c r="R251" s="80">
        <v>0</v>
      </c>
      <c r="S251" s="53">
        <v>0</v>
      </c>
      <c r="T251" s="54">
        <v>0</v>
      </c>
      <c r="U251" s="167">
        <v>0</v>
      </c>
    </row>
    <row r="252" spans="2:21" s="44" customFormat="1" x14ac:dyDescent="0.25">
      <c r="B252" s="91">
        <v>122</v>
      </c>
      <c r="C252" s="160" t="s">
        <v>385</v>
      </c>
      <c r="D252" s="41">
        <f t="shared" si="13"/>
        <v>9197418</v>
      </c>
      <c r="E252" s="53">
        <f t="shared" ref="E252" si="14">SUM(F252:K252)</f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2</v>
      </c>
      <c r="M252" s="41">
        <v>3933900</v>
      </c>
      <c r="N252" s="53">
        <v>458</v>
      </c>
      <c r="O252" s="53">
        <v>1180131</v>
      </c>
      <c r="P252" s="80">
        <v>0</v>
      </c>
      <c r="Q252" s="53">
        <v>0</v>
      </c>
      <c r="R252" s="80">
        <v>2661</v>
      </c>
      <c r="S252" s="53">
        <v>4083387</v>
      </c>
      <c r="T252" s="54">
        <v>0</v>
      </c>
      <c r="U252" s="167">
        <v>0</v>
      </c>
    </row>
    <row r="253" spans="2:21" s="44" customFormat="1" x14ac:dyDescent="0.25">
      <c r="B253" s="91">
        <v>123</v>
      </c>
      <c r="C253" s="160" t="s">
        <v>329</v>
      </c>
      <c r="D253" s="41">
        <f t="shared" si="13"/>
        <v>2551288</v>
      </c>
      <c r="E253" s="53">
        <f t="shared" si="12"/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  <c r="M253" s="41">
        <v>0</v>
      </c>
      <c r="N253" s="53">
        <v>1018.3</v>
      </c>
      <c r="O253" s="53">
        <v>2551288</v>
      </c>
      <c r="P253" s="80">
        <v>0</v>
      </c>
      <c r="Q253" s="53">
        <v>0</v>
      </c>
      <c r="R253" s="80">
        <v>0</v>
      </c>
      <c r="S253" s="53">
        <v>0</v>
      </c>
      <c r="T253" s="54">
        <v>0</v>
      </c>
      <c r="U253" s="167">
        <v>0</v>
      </c>
    </row>
    <row r="254" spans="2:21" s="44" customFormat="1" x14ac:dyDescent="0.25">
      <c r="B254" s="89">
        <v>124</v>
      </c>
      <c r="C254" s="160" t="s">
        <v>330</v>
      </c>
      <c r="D254" s="41">
        <f t="shared" si="13"/>
        <v>2792954</v>
      </c>
      <c r="E254" s="53">
        <f t="shared" ref="E254:E302" si="15">SUM(F254:K254)</f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1</v>
      </c>
      <c r="M254" s="41">
        <v>1959550</v>
      </c>
      <c r="N254" s="53">
        <v>321</v>
      </c>
      <c r="O254" s="53">
        <v>833404</v>
      </c>
      <c r="P254" s="80">
        <v>0</v>
      </c>
      <c r="Q254" s="53">
        <v>0</v>
      </c>
      <c r="R254" s="80">
        <v>0</v>
      </c>
      <c r="S254" s="53">
        <v>0</v>
      </c>
      <c r="T254" s="54">
        <v>0</v>
      </c>
      <c r="U254" s="167">
        <v>0</v>
      </c>
    </row>
    <row r="255" spans="2:21" s="44" customFormat="1" x14ac:dyDescent="0.25">
      <c r="B255" s="91">
        <v>125</v>
      </c>
      <c r="C255" s="160" t="s">
        <v>331</v>
      </c>
      <c r="D255" s="41">
        <f t="shared" si="13"/>
        <v>17567864</v>
      </c>
      <c r="E255" s="53">
        <f t="shared" si="15"/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6</v>
      </c>
      <c r="M255" s="41">
        <v>11907122</v>
      </c>
      <c r="N255" s="53">
        <v>2261</v>
      </c>
      <c r="O255" s="53">
        <v>5660742</v>
      </c>
      <c r="P255" s="80">
        <v>0</v>
      </c>
      <c r="Q255" s="53">
        <v>0</v>
      </c>
      <c r="R255" s="80">
        <v>0</v>
      </c>
      <c r="S255" s="53">
        <v>0</v>
      </c>
      <c r="T255" s="54">
        <v>0</v>
      </c>
      <c r="U255" s="167">
        <v>0</v>
      </c>
    </row>
    <row r="256" spans="2:21" s="44" customFormat="1" x14ac:dyDescent="0.25">
      <c r="B256" s="89">
        <v>126</v>
      </c>
      <c r="C256" s="160" t="s">
        <v>332</v>
      </c>
      <c r="D256" s="41">
        <f t="shared" si="13"/>
        <v>14446628</v>
      </c>
      <c r="E256" s="53">
        <f t="shared" si="15"/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5</v>
      </c>
      <c r="M256" s="41">
        <v>9928610</v>
      </c>
      <c r="N256" s="53">
        <v>1800</v>
      </c>
      <c r="O256" s="53">
        <v>4518018</v>
      </c>
      <c r="P256" s="80">
        <v>0</v>
      </c>
      <c r="Q256" s="53">
        <v>0</v>
      </c>
      <c r="R256" s="80">
        <v>0</v>
      </c>
      <c r="S256" s="53">
        <v>0</v>
      </c>
      <c r="T256" s="54">
        <v>0</v>
      </c>
      <c r="U256" s="167">
        <v>0</v>
      </c>
    </row>
    <row r="257" spans="2:21" s="44" customFormat="1" x14ac:dyDescent="0.25">
      <c r="B257" s="89">
        <v>127</v>
      </c>
      <c r="C257" s="160" t="s">
        <v>333</v>
      </c>
      <c r="D257" s="41">
        <f t="shared" si="13"/>
        <v>1861754</v>
      </c>
      <c r="E257" s="53">
        <f t="shared" si="15"/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  <c r="M257" s="41">
        <v>0</v>
      </c>
      <c r="N257" s="53">
        <v>584.70000000000005</v>
      </c>
      <c r="O257" s="53">
        <v>1861754</v>
      </c>
      <c r="P257" s="80">
        <v>0</v>
      </c>
      <c r="Q257" s="53">
        <v>0</v>
      </c>
      <c r="R257" s="80">
        <v>0</v>
      </c>
      <c r="S257" s="53">
        <v>0</v>
      </c>
      <c r="T257" s="54">
        <v>0</v>
      </c>
      <c r="U257" s="167">
        <v>0</v>
      </c>
    </row>
    <row r="258" spans="2:21" s="44" customFormat="1" x14ac:dyDescent="0.25">
      <c r="B258" s="91">
        <v>128</v>
      </c>
      <c r="C258" s="160" t="s">
        <v>334</v>
      </c>
      <c r="D258" s="41">
        <f t="shared" si="13"/>
        <v>1336656</v>
      </c>
      <c r="E258" s="53">
        <f t="shared" si="15"/>
        <v>193341</v>
      </c>
      <c r="F258" s="53">
        <v>0</v>
      </c>
      <c r="G258" s="53">
        <v>0</v>
      </c>
      <c r="H258" s="53">
        <v>0</v>
      </c>
      <c r="I258" s="53">
        <v>193341</v>
      </c>
      <c r="J258" s="53">
        <v>0</v>
      </c>
      <c r="K258" s="53">
        <v>0</v>
      </c>
      <c r="L258" s="54">
        <v>0</v>
      </c>
      <c r="M258" s="41">
        <v>0</v>
      </c>
      <c r="N258" s="53">
        <v>356.02</v>
      </c>
      <c r="O258" s="53">
        <v>1143315</v>
      </c>
      <c r="P258" s="80">
        <v>0</v>
      </c>
      <c r="Q258" s="53">
        <v>0</v>
      </c>
      <c r="R258" s="80">
        <v>0</v>
      </c>
      <c r="S258" s="53">
        <v>0</v>
      </c>
      <c r="T258" s="54">
        <v>0</v>
      </c>
      <c r="U258" s="167">
        <v>0</v>
      </c>
    </row>
    <row r="259" spans="2:21" s="44" customFormat="1" x14ac:dyDescent="0.25">
      <c r="B259" s="91">
        <v>129</v>
      </c>
      <c r="C259" s="160" t="s">
        <v>335</v>
      </c>
      <c r="D259" s="41">
        <f t="shared" si="13"/>
        <v>2610618</v>
      </c>
      <c r="E259" s="53">
        <f t="shared" si="15"/>
        <v>2610618</v>
      </c>
      <c r="F259" s="53">
        <v>2610618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  <c r="M259" s="41">
        <v>0</v>
      </c>
      <c r="N259" s="53">
        <v>0</v>
      </c>
      <c r="O259" s="53">
        <v>0</v>
      </c>
      <c r="P259" s="80">
        <v>0</v>
      </c>
      <c r="Q259" s="53">
        <v>0</v>
      </c>
      <c r="R259" s="80">
        <v>0</v>
      </c>
      <c r="S259" s="53">
        <v>0</v>
      </c>
      <c r="T259" s="54">
        <v>0</v>
      </c>
      <c r="U259" s="167">
        <v>0</v>
      </c>
    </row>
    <row r="260" spans="2:21" s="44" customFormat="1" x14ac:dyDescent="0.25">
      <c r="B260" s="89">
        <v>130</v>
      </c>
      <c r="C260" s="160" t="s">
        <v>379</v>
      </c>
      <c r="D260" s="41">
        <f t="shared" si="13"/>
        <v>3919318</v>
      </c>
      <c r="E260" s="53">
        <f t="shared" si="15"/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  <c r="M260" s="41">
        <v>0</v>
      </c>
      <c r="N260" s="53">
        <v>1569</v>
      </c>
      <c r="O260" s="53">
        <v>3919318</v>
      </c>
      <c r="P260" s="80">
        <v>0</v>
      </c>
      <c r="Q260" s="53">
        <v>0</v>
      </c>
      <c r="R260" s="80">
        <v>0</v>
      </c>
      <c r="S260" s="53">
        <v>0</v>
      </c>
      <c r="T260" s="54">
        <v>0</v>
      </c>
      <c r="U260" s="167">
        <v>0</v>
      </c>
    </row>
    <row r="261" spans="2:21" s="44" customFormat="1" x14ac:dyDescent="0.25">
      <c r="B261" s="91">
        <v>131</v>
      </c>
      <c r="C261" s="160" t="s">
        <v>336</v>
      </c>
      <c r="D261" s="41">
        <f t="shared" si="13"/>
        <v>1300391</v>
      </c>
      <c r="E261" s="53">
        <f t="shared" si="15"/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  <c r="M261" s="41">
        <v>0</v>
      </c>
      <c r="N261" s="53">
        <v>0</v>
      </c>
      <c r="O261" s="53">
        <v>0</v>
      </c>
      <c r="P261" s="80">
        <v>0</v>
      </c>
      <c r="Q261" s="53">
        <v>0</v>
      </c>
      <c r="R261" s="80">
        <v>853.25</v>
      </c>
      <c r="S261" s="53">
        <v>1300391</v>
      </c>
      <c r="T261" s="54">
        <v>0</v>
      </c>
      <c r="U261" s="167">
        <v>0</v>
      </c>
    </row>
    <row r="262" spans="2:21" s="44" customFormat="1" x14ac:dyDescent="0.25">
      <c r="B262" s="89">
        <v>132</v>
      </c>
      <c r="C262" s="160" t="s">
        <v>337</v>
      </c>
      <c r="D262" s="41">
        <f t="shared" ref="D262:D302" si="16">E262+M262+O262+Q262+S262+U262</f>
        <v>1817942</v>
      </c>
      <c r="E262" s="53">
        <f t="shared" si="15"/>
        <v>0</v>
      </c>
      <c r="F262" s="53">
        <v>0</v>
      </c>
      <c r="G262" s="53">
        <v>0</v>
      </c>
      <c r="H262" s="53">
        <v>0</v>
      </c>
      <c r="I262" s="53">
        <v>0</v>
      </c>
      <c r="J262" s="53">
        <v>0</v>
      </c>
      <c r="K262" s="53">
        <v>0</v>
      </c>
      <c r="L262" s="54">
        <v>0</v>
      </c>
      <c r="M262" s="41">
        <v>0</v>
      </c>
      <c r="N262" s="53">
        <v>569.9</v>
      </c>
      <c r="O262" s="53">
        <v>1817942</v>
      </c>
      <c r="P262" s="80">
        <v>0</v>
      </c>
      <c r="Q262" s="53">
        <v>0</v>
      </c>
      <c r="R262" s="80">
        <v>0</v>
      </c>
      <c r="S262" s="53">
        <v>0</v>
      </c>
      <c r="T262" s="54">
        <v>0</v>
      </c>
      <c r="U262" s="167">
        <v>0</v>
      </c>
    </row>
    <row r="263" spans="2:21" s="44" customFormat="1" x14ac:dyDescent="0.25">
      <c r="B263" s="89">
        <v>133</v>
      </c>
      <c r="C263" s="160" t="s">
        <v>338</v>
      </c>
      <c r="D263" s="41">
        <f t="shared" si="16"/>
        <v>1946073</v>
      </c>
      <c r="E263" s="53">
        <f t="shared" si="15"/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  <c r="M263" s="41">
        <v>0</v>
      </c>
      <c r="N263" s="53">
        <v>373.3</v>
      </c>
      <c r="O263" s="53">
        <v>1198838</v>
      </c>
      <c r="P263" s="80">
        <v>0</v>
      </c>
      <c r="Q263" s="53">
        <v>0</v>
      </c>
      <c r="R263" s="80">
        <v>487.3</v>
      </c>
      <c r="S263" s="53">
        <v>747235</v>
      </c>
      <c r="T263" s="54">
        <v>0</v>
      </c>
      <c r="U263" s="167">
        <v>0</v>
      </c>
    </row>
    <row r="264" spans="2:21" s="44" customFormat="1" x14ac:dyDescent="0.25">
      <c r="B264" s="91">
        <v>134</v>
      </c>
      <c r="C264" s="163" t="s">
        <v>339</v>
      </c>
      <c r="D264" s="41">
        <f t="shared" si="16"/>
        <v>1766431</v>
      </c>
      <c r="E264" s="53">
        <f t="shared" si="15"/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  <c r="M264" s="41">
        <v>0</v>
      </c>
      <c r="N264" s="53">
        <v>548.9</v>
      </c>
      <c r="O264" s="53">
        <v>1766431</v>
      </c>
      <c r="P264" s="80">
        <v>0</v>
      </c>
      <c r="Q264" s="53">
        <v>0</v>
      </c>
      <c r="R264" s="80">
        <v>0</v>
      </c>
      <c r="S264" s="53">
        <v>0</v>
      </c>
      <c r="T264" s="54">
        <v>0</v>
      </c>
      <c r="U264" s="167">
        <v>0</v>
      </c>
    </row>
    <row r="265" spans="2:21" s="44" customFormat="1" x14ac:dyDescent="0.25">
      <c r="B265" s="91">
        <v>135</v>
      </c>
      <c r="C265" s="160" t="s">
        <v>340</v>
      </c>
      <c r="D265" s="41">
        <f t="shared" si="16"/>
        <v>1964171</v>
      </c>
      <c r="E265" s="53">
        <f t="shared" si="15"/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  <c r="M265" s="41">
        <v>0</v>
      </c>
      <c r="N265" s="53">
        <v>372.2</v>
      </c>
      <c r="O265" s="53">
        <v>1195041</v>
      </c>
      <c r="P265" s="80">
        <v>0</v>
      </c>
      <c r="Q265" s="53">
        <v>0</v>
      </c>
      <c r="R265" s="80">
        <v>502</v>
      </c>
      <c r="S265" s="53">
        <v>769130</v>
      </c>
      <c r="T265" s="54">
        <v>0</v>
      </c>
      <c r="U265" s="167">
        <v>0</v>
      </c>
    </row>
    <row r="266" spans="2:21" s="44" customFormat="1" x14ac:dyDescent="0.25">
      <c r="B266" s="89">
        <v>136</v>
      </c>
      <c r="C266" s="160" t="s">
        <v>341</v>
      </c>
      <c r="D266" s="41">
        <f t="shared" si="16"/>
        <v>1745649</v>
      </c>
      <c r="E266" s="53">
        <f t="shared" si="15"/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  <c r="M266" s="41">
        <v>0</v>
      </c>
      <c r="N266" s="53">
        <v>546.9</v>
      </c>
      <c r="O266" s="53">
        <v>1745649</v>
      </c>
      <c r="P266" s="80">
        <v>0</v>
      </c>
      <c r="Q266" s="53">
        <v>0</v>
      </c>
      <c r="R266" s="80">
        <v>0</v>
      </c>
      <c r="S266" s="53">
        <v>0</v>
      </c>
      <c r="T266" s="54">
        <v>0</v>
      </c>
      <c r="U266" s="167">
        <v>0</v>
      </c>
    </row>
    <row r="267" spans="2:21" s="44" customFormat="1" x14ac:dyDescent="0.25">
      <c r="B267" s="91">
        <v>137</v>
      </c>
      <c r="C267" s="160" t="s">
        <v>342</v>
      </c>
      <c r="D267" s="41">
        <f t="shared" si="16"/>
        <v>7087171</v>
      </c>
      <c r="E267" s="53">
        <f t="shared" si="15"/>
        <v>4380234</v>
      </c>
      <c r="F267" s="53">
        <v>0</v>
      </c>
      <c r="G267" s="53">
        <v>4380234</v>
      </c>
      <c r="H267" s="53">
        <v>0</v>
      </c>
      <c r="I267" s="53">
        <v>0</v>
      </c>
      <c r="J267" s="53">
        <v>0</v>
      </c>
      <c r="K267" s="53">
        <v>0</v>
      </c>
      <c r="L267" s="54">
        <v>0</v>
      </c>
      <c r="M267" s="41">
        <v>0</v>
      </c>
      <c r="N267" s="53">
        <v>1080.76</v>
      </c>
      <c r="O267" s="53">
        <v>2706937</v>
      </c>
      <c r="P267" s="80">
        <v>0</v>
      </c>
      <c r="Q267" s="53">
        <v>0</v>
      </c>
      <c r="R267" s="80">
        <v>0</v>
      </c>
      <c r="S267" s="53">
        <v>0</v>
      </c>
      <c r="T267" s="54">
        <v>0</v>
      </c>
      <c r="U267" s="167">
        <v>0</v>
      </c>
    </row>
    <row r="268" spans="2:21" s="44" customFormat="1" x14ac:dyDescent="0.25">
      <c r="B268" s="89">
        <v>138</v>
      </c>
      <c r="C268" s="160" t="s">
        <v>343</v>
      </c>
      <c r="D268" s="41">
        <f t="shared" si="16"/>
        <v>3932680</v>
      </c>
      <c r="E268" s="53">
        <f t="shared" si="15"/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2</v>
      </c>
      <c r="M268" s="41">
        <v>3932680</v>
      </c>
      <c r="N268" s="53">
        <v>0</v>
      </c>
      <c r="O268" s="53">
        <v>0</v>
      </c>
      <c r="P268" s="80">
        <v>0</v>
      </c>
      <c r="Q268" s="53">
        <v>0</v>
      </c>
      <c r="R268" s="80">
        <v>0</v>
      </c>
      <c r="S268" s="53">
        <v>0</v>
      </c>
      <c r="T268" s="54">
        <v>0</v>
      </c>
      <c r="U268" s="167">
        <v>0</v>
      </c>
    </row>
    <row r="269" spans="2:21" s="44" customFormat="1" x14ac:dyDescent="0.25">
      <c r="B269" s="89">
        <v>139</v>
      </c>
      <c r="C269" s="160" t="s">
        <v>344</v>
      </c>
      <c r="D269" s="41">
        <f t="shared" si="16"/>
        <v>3933674</v>
      </c>
      <c r="E269" s="53">
        <f t="shared" si="15"/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2</v>
      </c>
      <c r="M269" s="41">
        <v>3933674</v>
      </c>
      <c r="N269" s="53">
        <v>0</v>
      </c>
      <c r="O269" s="53">
        <v>0</v>
      </c>
      <c r="P269" s="80">
        <v>0</v>
      </c>
      <c r="Q269" s="53">
        <v>0</v>
      </c>
      <c r="R269" s="80">
        <v>0</v>
      </c>
      <c r="S269" s="53">
        <v>0</v>
      </c>
      <c r="T269" s="54">
        <v>0</v>
      </c>
      <c r="U269" s="167">
        <v>0</v>
      </c>
    </row>
    <row r="270" spans="2:21" s="44" customFormat="1" x14ac:dyDescent="0.25">
      <c r="B270" s="91">
        <v>140</v>
      </c>
      <c r="C270" s="160" t="s">
        <v>345</v>
      </c>
      <c r="D270" s="41">
        <f t="shared" si="16"/>
        <v>3934192</v>
      </c>
      <c r="E270" s="53">
        <f t="shared" si="15"/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2</v>
      </c>
      <c r="M270" s="41">
        <v>3934192</v>
      </c>
      <c r="N270" s="53">
        <v>0</v>
      </c>
      <c r="O270" s="53">
        <v>0</v>
      </c>
      <c r="P270" s="80">
        <v>0</v>
      </c>
      <c r="Q270" s="53">
        <v>0</v>
      </c>
      <c r="R270" s="80">
        <v>0</v>
      </c>
      <c r="S270" s="53">
        <v>0</v>
      </c>
      <c r="T270" s="54">
        <v>0</v>
      </c>
      <c r="U270" s="167">
        <v>0</v>
      </c>
    </row>
    <row r="271" spans="2:21" s="44" customFormat="1" x14ac:dyDescent="0.25">
      <c r="B271" s="91">
        <v>141</v>
      </c>
      <c r="C271" s="160" t="s">
        <v>346</v>
      </c>
      <c r="D271" s="41">
        <f t="shared" si="16"/>
        <v>11858460</v>
      </c>
      <c r="E271" s="53">
        <f t="shared" si="15"/>
        <v>0</v>
      </c>
      <c r="F271" s="53">
        <v>0</v>
      </c>
      <c r="G271" s="53">
        <v>0</v>
      </c>
      <c r="H271" s="53">
        <v>0</v>
      </c>
      <c r="I271" s="53">
        <v>0</v>
      </c>
      <c r="J271" s="53">
        <v>0</v>
      </c>
      <c r="K271" s="53">
        <v>0</v>
      </c>
      <c r="L271" s="54">
        <v>6</v>
      </c>
      <c r="M271" s="41">
        <v>11858460</v>
      </c>
      <c r="N271" s="53">
        <v>0</v>
      </c>
      <c r="O271" s="53">
        <v>0</v>
      </c>
      <c r="P271" s="80">
        <v>0</v>
      </c>
      <c r="Q271" s="53">
        <v>0</v>
      </c>
      <c r="R271" s="80">
        <v>0</v>
      </c>
      <c r="S271" s="53">
        <v>0</v>
      </c>
      <c r="T271" s="54">
        <v>0</v>
      </c>
      <c r="U271" s="167">
        <v>0</v>
      </c>
    </row>
    <row r="272" spans="2:21" s="44" customFormat="1" x14ac:dyDescent="0.25">
      <c r="B272" s="89">
        <v>142</v>
      </c>
      <c r="C272" s="160" t="s">
        <v>347</v>
      </c>
      <c r="D272" s="41">
        <f t="shared" si="16"/>
        <v>1418939</v>
      </c>
      <c r="E272" s="53">
        <f t="shared" si="15"/>
        <v>1418939</v>
      </c>
      <c r="F272" s="53">
        <v>1418939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  <c r="M272" s="41">
        <v>0</v>
      </c>
      <c r="N272" s="53">
        <v>0</v>
      </c>
      <c r="O272" s="53">
        <v>0</v>
      </c>
      <c r="P272" s="80">
        <v>0</v>
      </c>
      <c r="Q272" s="53">
        <v>0</v>
      </c>
      <c r="R272" s="80">
        <v>0</v>
      </c>
      <c r="S272" s="53">
        <v>0</v>
      </c>
      <c r="T272" s="54">
        <v>0</v>
      </c>
      <c r="U272" s="167">
        <v>0</v>
      </c>
    </row>
    <row r="273" spans="2:21" s="44" customFormat="1" x14ac:dyDescent="0.25">
      <c r="B273" s="91">
        <v>143</v>
      </c>
      <c r="C273" s="160" t="s">
        <v>348</v>
      </c>
      <c r="D273" s="41">
        <f t="shared" si="16"/>
        <v>16243204</v>
      </c>
      <c r="E273" s="53">
        <f t="shared" si="15"/>
        <v>0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6</v>
      </c>
      <c r="M273" s="41">
        <v>11841477</v>
      </c>
      <c r="N273" s="53">
        <v>1755</v>
      </c>
      <c r="O273" s="53">
        <v>4401727</v>
      </c>
      <c r="P273" s="80">
        <v>0</v>
      </c>
      <c r="Q273" s="53">
        <v>0</v>
      </c>
      <c r="R273" s="80">
        <v>0</v>
      </c>
      <c r="S273" s="53">
        <v>0</v>
      </c>
      <c r="T273" s="54">
        <v>0</v>
      </c>
      <c r="U273" s="167">
        <v>0</v>
      </c>
    </row>
    <row r="274" spans="2:21" s="44" customFormat="1" x14ac:dyDescent="0.25">
      <c r="B274" s="89">
        <v>144</v>
      </c>
      <c r="C274" s="160" t="s">
        <v>349</v>
      </c>
      <c r="D274" s="41">
        <f t="shared" si="16"/>
        <v>4530531</v>
      </c>
      <c r="E274" s="53">
        <f t="shared" si="15"/>
        <v>579845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579845</v>
      </c>
      <c r="L274" s="54">
        <v>0</v>
      </c>
      <c r="M274" s="41">
        <v>0</v>
      </c>
      <c r="N274" s="53">
        <v>1400</v>
      </c>
      <c r="O274" s="53">
        <v>3950686</v>
      </c>
      <c r="P274" s="80">
        <v>0</v>
      </c>
      <c r="Q274" s="53">
        <v>0</v>
      </c>
      <c r="R274" s="80">
        <v>0</v>
      </c>
      <c r="S274" s="53">
        <v>0</v>
      </c>
      <c r="T274" s="54">
        <v>0</v>
      </c>
      <c r="U274" s="167">
        <v>0</v>
      </c>
    </row>
    <row r="275" spans="2:21" s="44" customFormat="1" x14ac:dyDescent="0.25">
      <c r="B275" s="89">
        <v>145</v>
      </c>
      <c r="C275" s="160" t="s">
        <v>350</v>
      </c>
      <c r="D275" s="41">
        <f t="shared" si="16"/>
        <v>6599999</v>
      </c>
      <c r="E275" s="53">
        <f t="shared" si="15"/>
        <v>6599999</v>
      </c>
      <c r="F275" s="53">
        <v>0</v>
      </c>
      <c r="G275" s="53">
        <v>0</v>
      </c>
      <c r="H275" s="53">
        <v>0</v>
      </c>
      <c r="I275" s="53">
        <v>2499294</v>
      </c>
      <c r="J275" s="53">
        <v>2499294</v>
      </c>
      <c r="K275" s="53">
        <v>1601411</v>
      </c>
      <c r="L275" s="54">
        <v>0</v>
      </c>
      <c r="M275" s="41">
        <v>0</v>
      </c>
      <c r="N275" s="53">
        <v>0</v>
      </c>
      <c r="O275" s="53">
        <v>0</v>
      </c>
      <c r="P275" s="80">
        <v>0</v>
      </c>
      <c r="Q275" s="53">
        <v>0</v>
      </c>
      <c r="R275" s="80">
        <v>0</v>
      </c>
      <c r="S275" s="53">
        <v>0</v>
      </c>
      <c r="T275" s="54">
        <v>0</v>
      </c>
      <c r="U275" s="167">
        <v>0</v>
      </c>
    </row>
    <row r="276" spans="2:21" s="44" customFormat="1" x14ac:dyDescent="0.25">
      <c r="B276" s="91">
        <v>146</v>
      </c>
      <c r="C276" s="160" t="s">
        <v>351</v>
      </c>
      <c r="D276" s="41">
        <f t="shared" si="16"/>
        <v>9367364</v>
      </c>
      <c r="E276" s="53">
        <f t="shared" si="15"/>
        <v>5641837</v>
      </c>
      <c r="F276" s="53">
        <v>5641837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  <c r="M276" s="41">
        <v>0</v>
      </c>
      <c r="N276" s="53">
        <v>1484</v>
      </c>
      <c r="O276" s="53">
        <v>3725527</v>
      </c>
      <c r="P276" s="80">
        <v>0</v>
      </c>
      <c r="Q276" s="53">
        <v>0</v>
      </c>
      <c r="R276" s="80">
        <v>0</v>
      </c>
      <c r="S276" s="53">
        <v>0</v>
      </c>
      <c r="T276" s="54">
        <v>0</v>
      </c>
      <c r="U276" s="167">
        <v>0</v>
      </c>
    </row>
    <row r="277" spans="2:21" s="44" customFormat="1" x14ac:dyDescent="0.25">
      <c r="B277" s="91">
        <v>147</v>
      </c>
      <c r="C277" s="160" t="s">
        <v>352</v>
      </c>
      <c r="D277" s="41">
        <f t="shared" si="16"/>
        <v>467928</v>
      </c>
      <c r="E277" s="53">
        <f t="shared" si="15"/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  <c r="M277" s="41">
        <v>0</v>
      </c>
      <c r="N277" s="53">
        <v>0</v>
      </c>
      <c r="O277" s="53">
        <v>0</v>
      </c>
      <c r="P277" s="80">
        <v>0</v>
      </c>
      <c r="Q277" s="53">
        <v>0</v>
      </c>
      <c r="R277" s="80">
        <v>294.7</v>
      </c>
      <c r="S277" s="53">
        <v>467928</v>
      </c>
      <c r="T277" s="54">
        <v>0</v>
      </c>
      <c r="U277" s="167">
        <v>0</v>
      </c>
    </row>
    <row r="278" spans="2:21" s="44" customFormat="1" x14ac:dyDescent="0.25">
      <c r="B278" s="89">
        <v>148</v>
      </c>
      <c r="C278" s="160" t="s">
        <v>353</v>
      </c>
      <c r="D278" s="41">
        <f t="shared" si="16"/>
        <v>1686238</v>
      </c>
      <c r="E278" s="53">
        <f t="shared" si="15"/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0</v>
      </c>
      <c r="M278" s="41">
        <v>0</v>
      </c>
      <c r="N278" s="53">
        <v>299</v>
      </c>
      <c r="O278" s="53">
        <v>965415</v>
      </c>
      <c r="P278" s="80">
        <v>0</v>
      </c>
      <c r="Q278" s="53">
        <v>0</v>
      </c>
      <c r="R278" s="80">
        <v>469.8</v>
      </c>
      <c r="S278" s="53">
        <v>720823</v>
      </c>
      <c r="T278" s="54">
        <v>0</v>
      </c>
      <c r="U278" s="167">
        <v>0</v>
      </c>
    </row>
    <row r="279" spans="2:21" s="44" customFormat="1" x14ac:dyDescent="0.25">
      <c r="B279" s="91">
        <v>149</v>
      </c>
      <c r="C279" s="160" t="s">
        <v>354</v>
      </c>
      <c r="D279" s="41">
        <f t="shared" si="16"/>
        <v>1049062</v>
      </c>
      <c r="E279" s="53">
        <f t="shared" si="15"/>
        <v>1049062</v>
      </c>
      <c r="F279" s="53">
        <v>357312</v>
      </c>
      <c r="G279" s="53">
        <v>0</v>
      </c>
      <c r="H279" s="53">
        <v>0</v>
      </c>
      <c r="I279" s="53">
        <v>420805</v>
      </c>
      <c r="J279" s="53">
        <v>0</v>
      </c>
      <c r="K279" s="53">
        <v>270945</v>
      </c>
      <c r="L279" s="54">
        <v>0</v>
      </c>
      <c r="M279" s="41">
        <v>0</v>
      </c>
      <c r="N279" s="53">
        <v>0</v>
      </c>
      <c r="O279" s="53">
        <v>0</v>
      </c>
      <c r="P279" s="80">
        <v>0</v>
      </c>
      <c r="Q279" s="53">
        <v>0</v>
      </c>
      <c r="R279" s="80">
        <v>0</v>
      </c>
      <c r="S279" s="53">
        <v>0</v>
      </c>
      <c r="T279" s="54">
        <v>0</v>
      </c>
      <c r="U279" s="167">
        <v>0</v>
      </c>
    </row>
    <row r="280" spans="2:21" s="44" customFormat="1" x14ac:dyDescent="0.25">
      <c r="B280" s="89">
        <v>150</v>
      </c>
      <c r="C280" s="160" t="s">
        <v>355</v>
      </c>
      <c r="D280" s="41">
        <f t="shared" si="16"/>
        <v>5615350</v>
      </c>
      <c r="E280" s="53">
        <f t="shared" si="15"/>
        <v>5615350</v>
      </c>
      <c r="F280" s="53">
        <v>0</v>
      </c>
      <c r="G280" s="53">
        <v>0</v>
      </c>
      <c r="H280" s="53">
        <v>0</v>
      </c>
      <c r="I280" s="53">
        <v>2123194</v>
      </c>
      <c r="J280" s="53">
        <v>2123194</v>
      </c>
      <c r="K280" s="53">
        <v>1368962</v>
      </c>
      <c r="L280" s="54">
        <v>0</v>
      </c>
      <c r="M280" s="41">
        <v>0</v>
      </c>
      <c r="N280" s="53">
        <v>0</v>
      </c>
      <c r="O280" s="53">
        <v>0</v>
      </c>
      <c r="P280" s="80">
        <v>0</v>
      </c>
      <c r="Q280" s="53">
        <v>0</v>
      </c>
      <c r="R280" s="80">
        <v>0</v>
      </c>
      <c r="S280" s="53">
        <v>0</v>
      </c>
      <c r="T280" s="54">
        <v>0</v>
      </c>
      <c r="U280" s="167">
        <v>0</v>
      </c>
    </row>
    <row r="281" spans="2:21" s="44" customFormat="1" x14ac:dyDescent="0.25">
      <c r="B281" s="89">
        <v>151</v>
      </c>
      <c r="C281" s="160" t="s">
        <v>65</v>
      </c>
      <c r="D281" s="41">
        <f t="shared" si="16"/>
        <v>18696087</v>
      </c>
      <c r="E281" s="53">
        <f t="shared" si="15"/>
        <v>18696087</v>
      </c>
      <c r="F281" s="53">
        <v>0</v>
      </c>
      <c r="G281" s="53">
        <v>0</v>
      </c>
      <c r="H281" s="53">
        <v>0</v>
      </c>
      <c r="I281" s="53">
        <v>7083967</v>
      </c>
      <c r="J281" s="53">
        <v>7083967</v>
      </c>
      <c r="K281" s="53">
        <v>4528153</v>
      </c>
      <c r="L281" s="54">
        <v>0</v>
      </c>
      <c r="M281" s="41">
        <v>0</v>
      </c>
      <c r="N281" s="53">
        <v>0</v>
      </c>
      <c r="O281" s="53">
        <v>0</v>
      </c>
      <c r="P281" s="80">
        <v>0</v>
      </c>
      <c r="Q281" s="53">
        <v>0</v>
      </c>
      <c r="R281" s="80">
        <v>0</v>
      </c>
      <c r="S281" s="53">
        <v>0</v>
      </c>
      <c r="T281" s="54">
        <v>0</v>
      </c>
      <c r="U281" s="167">
        <v>0</v>
      </c>
    </row>
    <row r="282" spans="2:21" s="44" customFormat="1" x14ac:dyDescent="0.25">
      <c r="B282" s="91">
        <v>152</v>
      </c>
      <c r="C282" s="160" t="s">
        <v>356</v>
      </c>
      <c r="D282" s="41">
        <f t="shared" si="16"/>
        <v>1909721</v>
      </c>
      <c r="E282" s="53">
        <f t="shared" si="15"/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  <c r="M282" s="41">
        <v>0</v>
      </c>
      <c r="N282" s="53">
        <v>372.8</v>
      </c>
      <c r="O282" s="53">
        <v>1197220</v>
      </c>
      <c r="P282" s="80">
        <v>0</v>
      </c>
      <c r="Q282" s="53">
        <v>0</v>
      </c>
      <c r="R282" s="80">
        <v>464.2</v>
      </c>
      <c r="S282" s="53">
        <v>712501</v>
      </c>
      <c r="T282" s="54">
        <v>0</v>
      </c>
      <c r="U282" s="167">
        <v>0</v>
      </c>
    </row>
    <row r="283" spans="2:21" s="44" customFormat="1" x14ac:dyDescent="0.25">
      <c r="B283" s="91">
        <v>153</v>
      </c>
      <c r="C283" s="160" t="s">
        <v>357</v>
      </c>
      <c r="D283" s="41">
        <f t="shared" si="16"/>
        <v>5401034</v>
      </c>
      <c r="E283" s="53">
        <f t="shared" si="15"/>
        <v>5401034</v>
      </c>
      <c r="F283" s="53">
        <v>0</v>
      </c>
      <c r="G283" s="53">
        <v>2880707</v>
      </c>
      <c r="H283" s="53">
        <v>0</v>
      </c>
      <c r="I283" s="53">
        <v>2520327</v>
      </c>
      <c r="J283" s="53">
        <v>0</v>
      </c>
      <c r="K283" s="53">
        <v>0</v>
      </c>
      <c r="L283" s="54">
        <v>0</v>
      </c>
      <c r="M283" s="41">
        <v>0</v>
      </c>
      <c r="N283" s="53">
        <v>0</v>
      </c>
      <c r="O283" s="53">
        <v>0</v>
      </c>
      <c r="P283" s="80">
        <v>0</v>
      </c>
      <c r="Q283" s="53">
        <v>0</v>
      </c>
      <c r="R283" s="80">
        <v>0</v>
      </c>
      <c r="S283" s="53">
        <v>0</v>
      </c>
      <c r="T283" s="54">
        <v>0</v>
      </c>
      <c r="U283" s="167">
        <v>0</v>
      </c>
    </row>
    <row r="284" spans="2:21" s="44" customFormat="1" x14ac:dyDescent="0.25">
      <c r="B284" s="89">
        <v>154</v>
      </c>
      <c r="C284" s="160" t="s">
        <v>358</v>
      </c>
      <c r="D284" s="41">
        <f t="shared" si="16"/>
        <v>3967506</v>
      </c>
      <c r="E284" s="53">
        <f t="shared" si="15"/>
        <v>1443400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1443400</v>
      </c>
      <c r="L284" s="54">
        <v>0</v>
      </c>
      <c r="M284" s="41">
        <v>0</v>
      </c>
      <c r="N284" s="53">
        <v>1008</v>
      </c>
      <c r="O284" s="53">
        <v>2524106</v>
      </c>
      <c r="P284" s="80">
        <v>0</v>
      </c>
      <c r="Q284" s="53">
        <v>0</v>
      </c>
      <c r="R284" s="80">
        <v>0</v>
      </c>
      <c r="S284" s="53">
        <v>0</v>
      </c>
      <c r="T284" s="54">
        <v>0</v>
      </c>
      <c r="U284" s="167">
        <v>0</v>
      </c>
    </row>
    <row r="285" spans="2:21" s="44" customFormat="1" x14ac:dyDescent="0.25">
      <c r="B285" s="91">
        <v>155</v>
      </c>
      <c r="C285" s="160" t="s">
        <v>359</v>
      </c>
      <c r="D285" s="41">
        <f t="shared" si="16"/>
        <v>1922647</v>
      </c>
      <c r="E285" s="53">
        <f t="shared" si="15"/>
        <v>0</v>
      </c>
      <c r="F285" s="53">
        <v>0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  <c r="M285" s="41">
        <v>0</v>
      </c>
      <c r="N285" s="74">
        <v>367.5</v>
      </c>
      <c r="O285" s="53">
        <v>1180272</v>
      </c>
      <c r="P285" s="80">
        <v>0</v>
      </c>
      <c r="Q285" s="53">
        <v>0</v>
      </c>
      <c r="R285" s="175">
        <v>484.2</v>
      </c>
      <c r="S285" s="53">
        <v>742375</v>
      </c>
      <c r="T285" s="54">
        <v>0</v>
      </c>
      <c r="U285" s="167">
        <v>0</v>
      </c>
    </row>
    <row r="286" spans="2:21" s="44" customFormat="1" x14ac:dyDescent="0.25">
      <c r="B286" s="89">
        <v>156</v>
      </c>
      <c r="C286" s="160" t="s">
        <v>375</v>
      </c>
      <c r="D286" s="41">
        <f t="shared" si="16"/>
        <v>8303420</v>
      </c>
      <c r="E286" s="53">
        <f t="shared" si="15"/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3</v>
      </c>
      <c r="M286" s="41">
        <v>5879996</v>
      </c>
      <c r="N286" s="53">
        <v>960</v>
      </c>
      <c r="O286" s="53">
        <v>2423424</v>
      </c>
      <c r="P286" s="80">
        <v>0</v>
      </c>
      <c r="Q286" s="53">
        <v>0</v>
      </c>
      <c r="R286" s="80">
        <v>0</v>
      </c>
      <c r="S286" s="53">
        <v>0</v>
      </c>
      <c r="T286" s="54">
        <v>0</v>
      </c>
      <c r="U286" s="167">
        <v>0</v>
      </c>
    </row>
    <row r="287" spans="2:21" s="44" customFormat="1" x14ac:dyDescent="0.25">
      <c r="B287" s="89">
        <v>157</v>
      </c>
      <c r="C287" s="160" t="s">
        <v>360</v>
      </c>
      <c r="D287" s="41">
        <f t="shared" si="16"/>
        <v>3431464</v>
      </c>
      <c r="E287" s="53">
        <f t="shared" si="15"/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  <c r="M287" s="41">
        <v>0</v>
      </c>
      <c r="N287" s="53">
        <v>1365</v>
      </c>
      <c r="O287" s="53">
        <v>3431464</v>
      </c>
      <c r="P287" s="80">
        <v>0</v>
      </c>
      <c r="Q287" s="53">
        <v>0</v>
      </c>
      <c r="R287" s="80">
        <v>0</v>
      </c>
      <c r="S287" s="53">
        <v>0</v>
      </c>
      <c r="T287" s="54">
        <v>0</v>
      </c>
      <c r="U287" s="167">
        <v>0</v>
      </c>
    </row>
    <row r="288" spans="2:21" s="44" customFormat="1" x14ac:dyDescent="0.25">
      <c r="B288" s="91">
        <v>158</v>
      </c>
      <c r="C288" s="160" t="s">
        <v>361</v>
      </c>
      <c r="D288" s="41">
        <f t="shared" si="16"/>
        <v>3911502</v>
      </c>
      <c r="E288" s="53">
        <f t="shared" si="15"/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2</v>
      </c>
      <c r="M288" s="41">
        <v>3911502</v>
      </c>
      <c r="N288" s="53">
        <v>0</v>
      </c>
      <c r="O288" s="53">
        <v>0</v>
      </c>
      <c r="P288" s="80">
        <v>0</v>
      </c>
      <c r="Q288" s="53">
        <v>0</v>
      </c>
      <c r="R288" s="80">
        <v>0</v>
      </c>
      <c r="S288" s="53">
        <v>0</v>
      </c>
      <c r="T288" s="54">
        <v>0</v>
      </c>
      <c r="U288" s="167">
        <v>0</v>
      </c>
    </row>
    <row r="289" spans="2:24" s="44" customFormat="1" x14ac:dyDescent="0.25">
      <c r="B289" s="91">
        <v>159</v>
      </c>
      <c r="C289" s="160" t="s">
        <v>362</v>
      </c>
      <c r="D289" s="41">
        <f t="shared" si="16"/>
        <v>1842806</v>
      </c>
      <c r="E289" s="53">
        <f t="shared" si="15"/>
        <v>1842806</v>
      </c>
      <c r="F289" s="53">
        <v>0</v>
      </c>
      <c r="G289" s="53">
        <v>1842806</v>
      </c>
      <c r="H289" s="53">
        <v>0</v>
      </c>
      <c r="I289" s="53">
        <v>0</v>
      </c>
      <c r="J289" s="53">
        <v>0</v>
      </c>
      <c r="K289" s="53">
        <v>0</v>
      </c>
      <c r="L289" s="106">
        <v>0</v>
      </c>
      <c r="M289" s="41">
        <v>0</v>
      </c>
      <c r="N289" s="41">
        <v>0</v>
      </c>
      <c r="O289" s="53">
        <v>0</v>
      </c>
      <c r="P289" s="80">
        <v>0</v>
      </c>
      <c r="Q289" s="53">
        <v>0</v>
      </c>
      <c r="R289" s="80">
        <v>0</v>
      </c>
      <c r="S289" s="53">
        <v>0</v>
      </c>
      <c r="T289" s="54">
        <v>0</v>
      </c>
      <c r="U289" s="167">
        <v>0</v>
      </c>
    </row>
    <row r="290" spans="2:24" s="44" customFormat="1" x14ac:dyDescent="0.25">
      <c r="B290" s="89">
        <v>160</v>
      </c>
      <c r="C290" s="160" t="s">
        <v>363</v>
      </c>
      <c r="D290" s="41">
        <f t="shared" si="16"/>
        <v>840406</v>
      </c>
      <c r="E290" s="53">
        <f t="shared" si="15"/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106">
        <v>0</v>
      </c>
      <c r="M290" s="41">
        <v>0</v>
      </c>
      <c r="N290" s="41">
        <v>0</v>
      </c>
      <c r="O290" s="53">
        <v>0</v>
      </c>
      <c r="P290" s="80">
        <v>820</v>
      </c>
      <c r="Q290" s="53">
        <v>840406</v>
      </c>
      <c r="R290" s="80">
        <v>0</v>
      </c>
      <c r="S290" s="53">
        <v>0</v>
      </c>
      <c r="T290" s="54">
        <v>0</v>
      </c>
      <c r="U290" s="167">
        <v>0</v>
      </c>
    </row>
    <row r="291" spans="2:24" s="44" customFormat="1" x14ac:dyDescent="0.25">
      <c r="B291" s="91">
        <v>161</v>
      </c>
      <c r="C291" s="160" t="s">
        <v>364</v>
      </c>
      <c r="D291" s="41">
        <f t="shared" si="16"/>
        <v>20970134</v>
      </c>
      <c r="E291" s="53">
        <f t="shared" si="15"/>
        <v>7138256</v>
      </c>
      <c r="F291" s="53">
        <v>7138256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106">
        <v>5</v>
      </c>
      <c r="M291" s="41">
        <v>9846365</v>
      </c>
      <c r="N291" s="41">
        <v>1588</v>
      </c>
      <c r="O291" s="53">
        <v>3985513</v>
      </c>
      <c r="P291" s="80">
        <v>0</v>
      </c>
      <c r="Q291" s="53">
        <v>0</v>
      </c>
      <c r="R291" s="80">
        <v>0</v>
      </c>
      <c r="S291" s="53">
        <v>0</v>
      </c>
      <c r="T291" s="54">
        <v>0</v>
      </c>
      <c r="U291" s="167">
        <v>0</v>
      </c>
    </row>
    <row r="292" spans="2:24" s="44" customFormat="1" x14ac:dyDescent="0.25">
      <c r="B292" s="89">
        <v>162</v>
      </c>
      <c r="C292" s="160" t="s">
        <v>365</v>
      </c>
      <c r="D292" s="41">
        <f t="shared" si="16"/>
        <v>3910766</v>
      </c>
      <c r="E292" s="53">
        <f t="shared" si="15"/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106">
        <v>2</v>
      </c>
      <c r="M292" s="41">
        <v>3910766</v>
      </c>
      <c r="N292" s="41">
        <v>0</v>
      </c>
      <c r="O292" s="53">
        <v>0</v>
      </c>
      <c r="P292" s="80">
        <v>0</v>
      </c>
      <c r="Q292" s="53">
        <v>0</v>
      </c>
      <c r="R292" s="80">
        <v>0</v>
      </c>
      <c r="S292" s="53">
        <v>0</v>
      </c>
      <c r="T292" s="54">
        <v>0</v>
      </c>
      <c r="U292" s="167">
        <v>0</v>
      </c>
    </row>
    <row r="293" spans="2:24" s="44" customFormat="1" x14ac:dyDescent="0.25">
      <c r="B293" s="89">
        <v>163</v>
      </c>
      <c r="C293" s="160" t="s">
        <v>201</v>
      </c>
      <c r="D293" s="41">
        <f t="shared" si="16"/>
        <v>3218731</v>
      </c>
      <c r="E293" s="53">
        <f t="shared" si="15"/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106">
        <v>0</v>
      </c>
      <c r="M293" s="41">
        <v>0</v>
      </c>
      <c r="N293" s="41">
        <v>1280</v>
      </c>
      <c r="O293" s="53">
        <v>3218731</v>
      </c>
      <c r="P293" s="80">
        <v>0</v>
      </c>
      <c r="Q293" s="53">
        <v>0</v>
      </c>
      <c r="R293" s="80">
        <v>0</v>
      </c>
      <c r="S293" s="53">
        <v>0</v>
      </c>
      <c r="T293" s="54">
        <v>0</v>
      </c>
      <c r="U293" s="167">
        <v>0</v>
      </c>
    </row>
    <row r="294" spans="2:24" s="44" customFormat="1" x14ac:dyDescent="0.25">
      <c r="B294" s="91">
        <v>164</v>
      </c>
      <c r="C294" s="160" t="s">
        <v>366</v>
      </c>
      <c r="D294" s="41">
        <f t="shared" si="16"/>
        <v>2792775</v>
      </c>
      <c r="E294" s="53">
        <f t="shared" si="15"/>
        <v>0</v>
      </c>
      <c r="F294" s="53">
        <v>0</v>
      </c>
      <c r="G294" s="53">
        <v>0</v>
      </c>
      <c r="H294" s="53">
        <v>0</v>
      </c>
      <c r="I294" s="53">
        <v>0</v>
      </c>
      <c r="J294" s="53">
        <v>0</v>
      </c>
      <c r="K294" s="53">
        <v>0</v>
      </c>
      <c r="L294" s="106">
        <v>1</v>
      </c>
      <c r="M294" s="41">
        <v>1959418</v>
      </c>
      <c r="N294" s="41">
        <v>321</v>
      </c>
      <c r="O294" s="53">
        <v>833357</v>
      </c>
      <c r="P294" s="80">
        <v>0</v>
      </c>
      <c r="Q294" s="53">
        <v>0</v>
      </c>
      <c r="R294" s="80">
        <v>0</v>
      </c>
      <c r="S294" s="53">
        <v>0</v>
      </c>
      <c r="T294" s="54">
        <v>0</v>
      </c>
      <c r="U294" s="167">
        <v>0</v>
      </c>
    </row>
    <row r="295" spans="2:24" s="44" customFormat="1" x14ac:dyDescent="0.25">
      <c r="B295" s="91">
        <v>165</v>
      </c>
      <c r="C295" s="160" t="s">
        <v>367</v>
      </c>
      <c r="D295" s="41">
        <f t="shared" si="16"/>
        <v>1378607</v>
      </c>
      <c r="E295" s="53">
        <f t="shared" si="15"/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0</v>
      </c>
      <c r="L295" s="106">
        <v>0</v>
      </c>
      <c r="M295" s="41">
        <v>0</v>
      </c>
      <c r="N295" s="41">
        <v>546.29999999999995</v>
      </c>
      <c r="O295" s="53">
        <v>1378607</v>
      </c>
      <c r="P295" s="80">
        <v>0</v>
      </c>
      <c r="Q295" s="53">
        <v>0</v>
      </c>
      <c r="R295" s="80">
        <v>0</v>
      </c>
      <c r="S295" s="53">
        <v>0</v>
      </c>
      <c r="T295" s="54">
        <v>0</v>
      </c>
      <c r="U295" s="167">
        <v>0</v>
      </c>
    </row>
    <row r="296" spans="2:24" s="44" customFormat="1" x14ac:dyDescent="0.25">
      <c r="B296" s="89">
        <v>166</v>
      </c>
      <c r="C296" s="160" t="s">
        <v>377</v>
      </c>
      <c r="D296" s="41">
        <f t="shared" si="16"/>
        <v>1961031</v>
      </c>
      <c r="E296" s="53">
        <f t="shared" ref="E296" si="17">SUM(F296:K296)</f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106">
        <v>1</v>
      </c>
      <c r="M296" s="41">
        <v>1961031</v>
      </c>
      <c r="N296" s="41">
        <v>0</v>
      </c>
      <c r="O296" s="53">
        <v>0</v>
      </c>
      <c r="P296" s="80">
        <v>0</v>
      </c>
      <c r="Q296" s="53">
        <v>0</v>
      </c>
      <c r="R296" s="80">
        <v>0</v>
      </c>
      <c r="S296" s="53">
        <v>0</v>
      </c>
      <c r="T296" s="54">
        <v>0</v>
      </c>
      <c r="U296" s="167">
        <v>0</v>
      </c>
    </row>
    <row r="297" spans="2:24" s="44" customFormat="1" x14ac:dyDescent="0.25">
      <c r="B297" s="91">
        <v>167</v>
      </c>
      <c r="C297" s="160" t="s">
        <v>368</v>
      </c>
      <c r="D297" s="41">
        <f t="shared" si="16"/>
        <v>1074704</v>
      </c>
      <c r="E297" s="53">
        <f t="shared" si="15"/>
        <v>1074704</v>
      </c>
      <c r="F297" s="53">
        <v>251684</v>
      </c>
      <c r="G297" s="53">
        <v>338279</v>
      </c>
      <c r="H297" s="53">
        <v>0</v>
      </c>
      <c r="I297" s="53">
        <v>296962</v>
      </c>
      <c r="J297" s="53">
        <v>0</v>
      </c>
      <c r="K297" s="53">
        <v>187779</v>
      </c>
      <c r="L297" s="106">
        <v>0</v>
      </c>
      <c r="M297" s="41">
        <v>0</v>
      </c>
      <c r="N297" s="41">
        <v>0</v>
      </c>
      <c r="O297" s="53">
        <v>0</v>
      </c>
      <c r="P297" s="80">
        <v>0</v>
      </c>
      <c r="Q297" s="53">
        <v>0</v>
      </c>
      <c r="R297" s="80">
        <v>0</v>
      </c>
      <c r="S297" s="53">
        <v>0</v>
      </c>
      <c r="T297" s="54">
        <v>0</v>
      </c>
      <c r="U297" s="167">
        <v>0</v>
      </c>
    </row>
    <row r="298" spans="2:24" s="44" customFormat="1" x14ac:dyDescent="0.25">
      <c r="B298" s="89">
        <v>168</v>
      </c>
      <c r="C298" s="160" t="s">
        <v>369</v>
      </c>
      <c r="D298" s="41">
        <f t="shared" si="16"/>
        <v>13112981</v>
      </c>
      <c r="E298" s="53">
        <f t="shared" si="15"/>
        <v>0</v>
      </c>
      <c r="F298" s="53">
        <v>0</v>
      </c>
      <c r="G298" s="53">
        <v>0</v>
      </c>
      <c r="H298" s="53">
        <v>0</v>
      </c>
      <c r="I298" s="53">
        <v>0</v>
      </c>
      <c r="J298" s="53">
        <v>0</v>
      </c>
      <c r="K298" s="53">
        <v>0</v>
      </c>
      <c r="L298" s="106">
        <v>0</v>
      </c>
      <c r="M298" s="41">
        <v>0</v>
      </c>
      <c r="N298" s="41">
        <v>2580.66</v>
      </c>
      <c r="O298" s="53">
        <v>8178575</v>
      </c>
      <c r="P298" s="80">
        <v>0</v>
      </c>
      <c r="Q298" s="53">
        <v>0</v>
      </c>
      <c r="R298" s="80">
        <v>3255.15</v>
      </c>
      <c r="S298" s="53">
        <v>4934406</v>
      </c>
      <c r="T298" s="54">
        <v>0</v>
      </c>
      <c r="U298" s="167">
        <v>0</v>
      </c>
    </row>
    <row r="299" spans="2:24" s="44" customFormat="1" x14ac:dyDescent="0.25">
      <c r="B299" s="89">
        <v>169</v>
      </c>
      <c r="C299" s="160" t="s">
        <v>370</v>
      </c>
      <c r="D299" s="41">
        <f t="shared" si="16"/>
        <v>1600936</v>
      </c>
      <c r="E299" s="53">
        <f t="shared" si="15"/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106">
        <v>0</v>
      </c>
      <c r="M299" s="41">
        <v>0</v>
      </c>
      <c r="N299" s="41">
        <v>497.4</v>
      </c>
      <c r="O299" s="53">
        <v>1600936</v>
      </c>
      <c r="P299" s="80">
        <v>0</v>
      </c>
      <c r="Q299" s="53">
        <v>0</v>
      </c>
      <c r="R299" s="80">
        <v>0</v>
      </c>
      <c r="S299" s="53">
        <v>0</v>
      </c>
      <c r="T299" s="54">
        <v>0</v>
      </c>
      <c r="U299" s="167">
        <v>0</v>
      </c>
    </row>
    <row r="300" spans="2:24" s="44" customFormat="1" x14ac:dyDescent="0.25">
      <c r="B300" s="91">
        <v>170</v>
      </c>
      <c r="C300" s="160" t="s">
        <v>371</v>
      </c>
      <c r="D300" s="41">
        <f t="shared" si="16"/>
        <v>3012208</v>
      </c>
      <c r="E300" s="53">
        <f t="shared" si="15"/>
        <v>3012208</v>
      </c>
      <c r="F300" s="53">
        <v>733028</v>
      </c>
      <c r="G300" s="53">
        <v>0</v>
      </c>
      <c r="H300" s="53">
        <v>0</v>
      </c>
      <c r="I300" s="53">
        <v>860717</v>
      </c>
      <c r="J300" s="53">
        <v>860717</v>
      </c>
      <c r="K300" s="53">
        <v>557746</v>
      </c>
      <c r="L300" s="106">
        <v>0</v>
      </c>
      <c r="M300" s="41">
        <v>0</v>
      </c>
      <c r="N300" s="41">
        <v>0</v>
      </c>
      <c r="O300" s="53">
        <v>0</v>
      </c>
      <c r="P300" s="80">
        <v>0</v>
      </c>
      <c r="Q300" s="53">
        <v>0</v>
      </c>
      <c r="R300" s="80">
        <v>0</v>
      </c>
      <c r="S300" s="53">
        <v>0</v>
      </c>
      <c r="T300" s="54">
        <v>0</v>
      </c>
      <c r="U300" s="167">
        <v>0</v>
      </c>
    </row>
    <row r="301" spans="2:24" s="44" customFormat="1" x14ac:dyDescent="0.25">
      <c r="B301" s="91">
        <v>171</v>
      </c>
      <c r="C301" s="160" t="s">
        <v>372</v>
      </c>
      <c r="D301" s="41">
        <f t="shared" si="16"/>
        <v>500184</v>
      </c>
      <c r="E301" s="53">
        <f t="shared" si="15"/>
        <v>500184</v>
      </c>
      <c r="F301" s="53">
        <v>285770</v>
      </c>
      <c r="G301" s="53">
        <v>0</v>
      </c>
      <c r="H301" s="53">
        <v>0</v>
      </c>
      <c r="I301" s="53">
        <v>0</v>
      </c>
      <c r="J301" s="53">
        <v>0</v>
      </c>
      <c r="K301" s="53">
        <v>214414</v>
      </c>
      <c r="L301" s="106">
        <v>0</v>
      </c>
      <c r="M301" s="41">
        <v>0</v>
      </c>
      <c r="N301" s="41">
        <v>0</v>
      </c>
      <c r="O301" s="53">
        <v>0</v>
      </c>
      <c r="P301" s="80">
        <v>0</v>
      </c>
      <c r="Q301" s="53">
        <v>0</v>
      </c>
      <c r="R301" s="80">
        <v>0</v>
      </c>
      <c r="S301" s="53">
        <v>0</v>
      </c>
      <c r="T301" s="54">
        <v>0</v>
      </c>
      <c r="U301" s="167">
        <v>0</v>
      </c>
    </row>
    <row r="302" spans="2:24" s="44" customFormat="1" x14ac:dyDescent="0.25">
      <c r="B302" s="89">
        <v>172</v>
      </c>
      <c r="C302" s="160" t="s">
        <v>380</v>
      </c>
      <c r="D302" s="41">
        <f t="shared" si="16"/>
        <v>2797738</v>
      </c>
      <c r="E302" s="53">
        <f t="shared" si="15"/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106">
        <v>0</v>
      </c>
      <c r="M302" s="41">
        <v>0</v>
      </c>
      <c r="N302" s="41">
        <v>1117.54</v>
      </c>
      <c r="O302" s="53">
        <v>2797738</v>
      </c>
      <c r="P302" s="80">
        <v>0</v>
      </c>
      <c r="Q302" s="53">
        <v>0</v>
      </c>
      <c r="R302" s="80">
        <v>0</v>
      </c>
      <c r="S302" s="53">
        <v>0</v>
      </c>
      <c r="T302" s="54">
        <v>0</v>
      </c>
      <c r="U302" s="167">
        <v>0</v>
      </c>
    </row>
    <row r="303" spans="2:24" s="44" customFormat="1" x14ac:dyDescent="0.25">
      <c r="B303" s="91">
        <v>173</v>
      </c>
      <c r="C303" s="160" t="s">
        <v>373</v>
      </c>
      <c r="D303" s="41">
        <f t="shared" ref="D303" si="18">E303+M303+O303+Q303+S303+U303</f>
        <v>6485780</v>
      </c>
      <c r="E303" s="53">
        <f t="shared" ref="E303" si="19">SUM(F303:K303)</f>
        <v>0</v>
      </c>
      <c r="F303" s="53">
        <v>0</v>
      </c>
      <c r="G303" s="53">
        <v>0</v>
      </c>
      <c r="H303" s="53">
        <v>0</v>
      </c>
      <c r="I303" s="53">
        <v>0</v>
      </c>
      <c r="J303" s="53">
        <v>0</v>
      </c>
      <c r="K303" s="53">
        <v>0</v>
      </c>
      <c r="L303" s="106">
        <v>1</v>
      </c>
      <c r="M303" s="41">
        <v>1972764</v>
      </c>
      <c r="N303" s="41">
        <v>0</v>
      </c>
      <c r="O303" s="53">
        <v>0</v>
      </c>
      <c r="P303" s="80">
        <v>0</v>
      </c>
      <c r="Q303" s="53">
        <v>0</v>
      </c>
      <c r="R303" s="80">
        <v>2950</v>
      </c>
      <c r="S303" s="53">
        <v>4513016</v>
      </c>
      <c r="T303" s="54">
        <v>0</v>
      </c>
      <c r="U303" s="167">
        <v>0</v>
      </c>
    </row>
    <row r="304" spans="2:24" s="19" customFormat="1" ht="15" customHeight="1" thickBot="1" x14ac:dyDescent="0.3">
      <c r="B304" s="112"/>
      <c r="C304" s="115"/>
      <c r="D304" s="60"/>
      <c r="E304" s="113"/>
      <c r="F304" s="113"/>
      <c r="G304" s="113"/>
      <c r="H304" s="113"/>
      <c r="I304" s="113"/>
      <c r="J304" s="113"/>
      <c r="K304" s="113"/>
      <c r="L304" s="114"/>
      <c r="M304" s="113"/>
      <c r="N304" s="116"/>
      <c r="O304" s="113"/>
      <c r="P304" s="114"/>
      <c r="Q304" s="113"/>
      <c r="R304" s="116"/>
      <c r="S304" s="113"/>
      <c r="T304" s="114"/>
      <c r="U304" s="113"/>
      <c r="V304" s="61"/>
      <c r="W304" s="61"/>
      <c r="X304" s="61"/>
    </row>
    <row r="305" spans="2:24" s="19" customFormat="1" ht="28.5" customHeight="1" thickBot="1" x14ac:dyDescent="0.3">
      <c r="B305" s="238" t="s">
        <v>153</v>
      </c>
      <c r="C305" s="239"/>
      <c r="D305" s="239"/>
      <c r="E305" s="239"/>
      <c r="F305" s="239"/>
      <c r="G305" s="239"/>
      <c r="H305" s="239"/>
      <c r="I305" s="239"/>
      <c r="J305" s="239"/>
      <c r="K305" s="239"/>
      <c r="L305" s="239"/>
      <c r="M305" s="239"/>
      <c r="N305" s="239"/>
      <c r="O305" s="239"/>
      <c r="P305" s="239"/>
      <c r="Q305" s="239"/>
      <c r="R305" s="239"/>
      <c r="S305" s="239"/>
      <c r="T305" s="239"/>
      <c r="U305" s="240"/>
      <c r="V305" s="61"/>
      <c r="W305" s="61"/>
      <c r="X305" s="61"/>
    </row>
    <row r="306" spans="2:24" s="19" customFormat="1" ht="28.5" customHeight="1" x14ac:dyDescent="0.25">
      <c r="B306" s="128" t="s">
        <v>211</v>
      </c>
      <c r="C306" s="129"/>
      <c r="D306" s="51">
        <f>D307</f>
        <v>0</v>
      </c>
      <c r="E306" s="51">
        <f t="shared" ref="E306:H306" si="20">E307</f>
        <v>0</v>
      </c>
      <c r="F306" s="51">
        <f t="shared" si="20"/>
        <v>0</v>
      </c>
      <c r="G306" s="51">
        <f t="shared" si="20"/>
        <v>0</v>
      </c>
      <c r="H306" s="51">
        <f t="shared" si="20"/>
        <v>0</v>
      </c>
      <c r="I306" s="52">
        <f t="shared" ref="I306:U306" si="21">SUM(I307:I399)</f>
        <v>0</v>
      </c>
      <c r="J306" s="52">
        <f t="shared" si="21"/>
        <v>0</v>
      </c>
      <c r="K306" s="52">
        <f t="shared" si="21"/>
        <v>0</v>
      </c>
      <c r="L306" s="117">
        <f t="shared" si="21"/>
        <v>0</v>
      </c>
      <c r="M306" s="52">
        <f t="shared" si="21"/>
        <v>0</v>
      </c>
      <c r="N306" s="52">
        <f t="shared" si="21"/>
        <v>0</v>
      </c>
      <c r="O306" s="52">
        <f t="shared" si="21"/>
        <v>0</v>
      </c>
      <c r="P306" s="52">
        <f t="shared" si="21"/>
        <v>0</v>
      </c>
      <c r="Q306" s="52">
        <f t="shared" si="21"/>
        <v>0</v>
      </c>
      <c r="R306" s="52">
        <f t="shared" si="21"/>
        <v>0</v>
      </c>
      <c r="S306" s="52">
        <f t="shared" si="21"/>
        <v>0</v>
      </c>
      <c r="T306" s="52">
        <f t="shared" si="21"/>
        <v>0</v>
      </c>
      <c r="U306" s="119">
        <f t="shared" si="21"/>
        <v>0</v>
      </c>
      <c r="V306" s="61"/>
      <c r="W306" s="61"/>
      <c r="X306" s="61"/>
    </row>
    <row r="307" spans="2:24" s="19" customFormat="1" ht="15" customHeight="1" thickBot="1" x14ac:dyDescent="0.3">
      <c r="B307" s="59">
        <v>1</v>
      </c>
      <c r="C307" s="32" t="s">
        <v>26</v>
      </c>
      <c r="D307" s="83">
        <f>E307+M307+O307+Q307+S307+U307</f>
        <v>0</v>
      </c>
      <c r="E307" s="84">
        <v>0</v>
      </c>
      <c r="F307" s="84">
        <v>0</v>
      </c>
      <c r="G307" s="84">
        <v>0</v>
      </c>
      <c r="H307" s="84">
        <v>0</v>
      </c>
      <c r="I307" s="84">
        <v>0</v>
      </c>
      <c r="J307" s="84">
        <v>0</v>
      </c>
      <c r="K307" s="84">
        <v>0</v>
      </c>
      <c r="L307" s="85">
        <v>0</v>
      </c>
      <c r="M307" s="84">
        <v>0</v>
      </c>
      <c r="N307" s="118">
        <v>0</v>
      </c>
      <c r="O307" s="84">
        <v>0</v>
      </c>
      <c r="P307" s="118">
        <v>0</v>
      </c>
      <c r="Q307" s="84">
        <v>0</v>
      </c>
      <c r="R307" s="118">
        <v>0</v>
      </c>
      <c r="S307" s="84">
        <v>0</v>
      </c>
      <c r="T307" s="118">
        <v>0</v>
      </c>
      <c r="U307" s="111">
        <v>0</v>
      </c>
      <c r="V307" s="61"/>
      <c r="W307" s="61"/>
      <c r="X307" s="61"/>
    </row>
    <row r="308" spans="2:24" s="131" customFormat="1" ht="26.25" customHeight="1" thickBot="1" x14ac:dyDescent="0.3">
      <c r="B308" s="230" t="s">
        <v>204</v>
      </c>
      <c r="C308" s="231"/>
      <c r="D308" s="231"/>
      <c r="E308" s="231"/>
      <c r="F308" s="231"/>
      <c r="G308" s="231"/>
      <c r="H308" s="231"/>
      <c r="I308" s="231"/>
      <c r="J308" s="231"/>
      <c r="K308" s="231"/>
      <c r="L308" s="231"/>
      <c r="M308" s="231"/>
      <c r="N308" s="231"/>
      <c r="O308" s="231"/>
      <c r="P308" s="231"/>
      <c r="Q308" s="231"/>
      <c r="R308" s="231"/>
      <c r="S308" s="231"/>
      <c r="T308" s="231"/>
      <c r="U308" s="232"/>
    </row>
    <row r="309" spans="2:24" s="131" customFormat="1" ht="15" customHeight="1" x14ac:dyDescent="0.25">
      <c r="B309" s="133" t="s">
        <v>56</v>
      </c>
      <c r="C309" s="134" t="s">
        <v>26</v>
      </c>
      <c r="D309" s="135">
        <f>D310</f>
        <v>0</v>
      </c>
      <c r="E309" s="135">
        <f t="shared" ref="E309:H309" si="22">E310</f>
        <v>0</v>
      </c>
      <c r="F309" s="135">
        <f t="shared" si="22"/>
        <v>0</v>
      </c>
      <c r="G309" s="135">
        <f t="shared" si="22"/>
        <v>0</v>
      </c>
      <c r="H309" s="135">
        <f t="shared" si="22"/>
        <v>0</v>
      </c>
      <c r="I309" s="135">
        <f>I412+I418+I421</f>
        <v>0</v>
      </c>
      <c r="J309" s="135">
        <f t="shared" ref="J309:P309" si="23">J412+J418+J421</f>
        <v>0</v>
      </c>
      <c r="K309" s="135">
        <f t="shared" si="23"/>
        <v>0</v>
      </c>
      <c r="L309" s="136">
        <f t="shared" si="23"/>
        <v>0</v>
      </c>
      <c r="M309" s="135">
        <f t="shared" si="23"/>
        <v>0</v>
      </c>
      <c r="N309" s="135">
        <f t="shared" si="23"/>
        <v>0</v>
      </c>
      <c r="O309" s="135">
        <f t="shared" si="23"/>
        <v>0</v>
      </c>
      <c r="P309" s="135">
        <f t="shared" si="23"/>
        <v>0</v>
      </c>
      <c r="Q309" s="135"/>
      <c r="R309" s="135">
        <f t="shared" ref="R309" si="24">R412+R418+R421</f>
        <v>0</v>
      </c>
      <c r="S309" s="137" t="s">
        <v>26</v>
      </c>
      <c r="T309" s="137" t="s">
        <v>26</v>
      </c>
      <c r="U309" s="138" t="s">
        <v>26</v>
      </c>
    </row>
    <row r="310" spans="2:24" s="19" customFormat="1" ht="15" customHeight="1" thickBot="1" x14ac:dyDescent="0.3">
      <c r="B310" s="59">
        <v>1</v>
      </c>
      <c r="C310" s="32" t="s">
        <v>26</v>
      </c>
      <c r="D310" s="83">
        <f>E310+M310+O310+Q310+S310+U310</f>
        <v>0</v>
      </c>
      <c r="E310" s="84">
        <v>0</v>
      </c>
      <c r="F310" s="84">
        <v>0</v>
      </c>
      <c r="G310" s="84">
        <v>0</v>
      </c>
      <c r="H310" s="84">
        <v>0</v>
      </c>
      <c r="I310" s="84">
        <v>0</v>
      </c>
      <c r="J310" s="84">
        <v>0</v>
      </c>
      <c r="K310" s="84">
        <v>0</v>
      </c>
      <c r="L310" s="85">
        <v>0</v>
      </c>
      <c r="M310" s="84">
        <v>0</v>
      </c>
      <c r="N310" s="118">
        <v>0</v>
      </c>
      <c r="O310" s="84">
        <v>0</v>
      </c>
      <c r="P310" s="118">
        <v>0</v>
      </c>
      <c r="Q310" s="84">
        <v>0</v>
      </c>
      <c r="R310" s="118">
        <v>0</v>
      </c>
      <c r="S310" s="84">
        <v>0</v>
      </c>
      <c r="T310" s="118">
        <v>0</v>
      </c>
      <c r="U310" s="111">
        <v>0</v>
      </c>
      <c r="V310" s="61"/>
      <c r="W310" s="61"/>
      <c r="X310" s="61"/>
    </row>
    <row r="311" spans="2:24" s="131" customFormat="1" x14ac:dyDescent="0.25">
      <c r="B311" s="112"/>
      <c r="C311" s="115"/>
      <c r="D311" s="60"/>
      <c r="E311" s="113"/>
      <c r="F311" s="113"/>
      <c r="G311" s="113"/>
      <c r="H311" s="113"/>
      <c r="I311" s="113"/>
      <c r="J311" s="113"/>
      <c r="K311" s="113"/>
      <c r="L311" s="114"/>
      <c r="M311" s="113"/>
      <c r="N311" s="116"/>
      <c r="O311" s="113"/>
      <c r="P311" s="114"/>
      <c r="Q311" s="113"/>
      <c r="R311" s="116"/>
      <c r="S311" s="113"/>
      <c r="T311" s="114"/>
      <c r="U311" s="113"/>
      <c r="V311" s="61"/>
      <c r="W311" s="61"/>
      <c r="X311" s="61"/>
    </row>
    <row r="312" spans="2:24" s="131" customFormat="1" x14ac:dyDescent="0.25">
      <c r="B312" s="112"/>
      <c r="C312" s="115"/>
      <c r="D312" s="60"/>
      <c r="E312" s="113"/>
      <c r="F312" s="113"/>
      <c r="G312" s="113"/>
      <c r="H312" s="113"/>
      <c r="I312" s="113"/>
      <c r="J312" s="113"/>
      <c r="K312" s="113"/>
      <c r="L312" s="114"/>
      <c r="M312" s="113"/>
      <c r="N312" s="116"/>
      <c r="O312" s="113"/>
      <c r="P312" s="114"/>
      <c r="Q312" s="113"/>
      <c r="R312" s="116"/>
      <c r="S312" s="113"/>
      <c r="T312" s="114"/>
      <c r="U312" s="113"/>
      <c r="V312" s="61"/>
      <c r="W312" s="61"/>
      <c r="X312" s="61"/>
    </row>
    <row r="313" spans="2:24" ht="15.75" customHeight="1" x14ac:dyDescent="0.35">
      <c r="B313" s="62"/>
      <c r="C313" s="8" t="s">
        <v>163</v>
      </c>
      <c r="D313" s="63"/>
      <c r="E313" s="9"/>
      <c r="F313" s="9"/>
      <c r="G313" s="9"/>
      <c r="H313" s="9"/>
      <c r="I313" s="9"/>
      <c r="J313" s="9"/>
      <c r="K313" s="9"/>
      <c r="L313" s="9"/>
      <c r="M313" s="10"/>
      <c r="N313" s="11"/>
      <c r="O313" s="10"/>
      <c r="P313" s="11"/>
      <c r="Q313" s="43"/>
      <c r="R313" s="11"/>
      <c r="S313" s="43"/>
      <c r="T313" s="11"/>
    </row>
    <row r="314" spans="2:24" ht="15.75" customHeight="1" x14ac:dyDescent="0.35">
      <c r="B314" s="62"/>
      <c r="C314" s="13" t="s">
        <v>29</v>
      </c>
      <c r="D314" s="64"/>
      <c r="E314" s="65"/>
      <c r="F314" s="69"/>
      <c r="G314" s="69"/>
      <c r="H314" s="13"/>
      <c r="I314" s="14" t="s">
        <v>164</v>
      </c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43"/>
      <c r="V314" s="11"/>
      <c r="W314" s="11"/>
      <c r="X314" s="20"/>
    </row>
    <row r="315" spans="2:24" ht="15.75" customHeight="1" x14ac:dyDescent="0.35">
      <c r="B315" s="62"/>
      <c r="C315" s="8"/>
      <c r="D315" s="63"/>
      <c r="E315" s="9"/>
      <c r="F315" s="9"/>
      <c r="G315" s="9"/>
      <c r="H315" s="9"/>
      <c r="I315" s="9"/>
      <c r="J315" s="9"/>
      <c r="K315" s="9"/>
      <c r="L315" s="9"/>
      <c r="M315" s="10"/>
      <c r="N315" s="11"/>
      <c r="O315" s="10"/>
      <c r="P315" s="11"/>
      <c r="Q315" s="43"/>
      <c r="R315" s="11"/>
      <c r="S315" s="43"/>
      <c r="T315" s="11"/>
      <c r="U315" s="14"/>
      <c r="V315" s="14"/>
      <c r="W315" s="14"/>
      <c r="X315" s="20"/>
    </row>
    <row r="316" spans="2:24" ht="15.75" customHeight="1" x14ac:dyDescent="0.25">
      <c r="C316" s="15"/>
      <c r="D316" s="66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43"/>
      <c r="V316" s="11"/>
      <c r="W316" s="11"/>
      <c r="X316" s="20"/>
    </row>
    <row r="317" spans="2:24" ht="15.75" customHeight="1" x14ac:dyDescent="0.25">
      <c r="C317" s="15"/>
      <c r="D317" s="66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20"/>
      <c r="V317" s="20"/>
      <c r="W317" s="20"/>
      <c r="X317" s="20"/>
    </row>
    <row r="318" spans="2:24" ht="15.75" customHeight="1" x14ac:dyDescent="0.25">
      <c r="C318" s="16" t="s">
        <v>27</v>
      </c>
      <c r="D318" s="67"/>
      <c r="E318" s="16"/>
      <c r="F318" s="16"/>
      <c r="G318" s="16"/>
      <c r="H318" s="16"/>
      <c r="I318" s="16"/>
      <c r="J318" s="16"/>
      <c r="K318" s="16"/>
      <c r="L318" s="16"/>
      <c r="M318" s="16" t="s">
        <v>27</v>
      </c>
      <c r="N318" s="15"/>
      <c r="O318" s="15"/>
      <c r="P318" s="15"/>
      <c r="Q318" s="15"/>
      <c r="R318" s="15"/>
      <c r="S318" s="15"/>
      <c r="T318" s="15"/>
      <c r="U318" s="20"/>
      <c r="V318" s="20"/>
      <c r="W318" s="20"/>
      <c r="X318" s="20"/>
    </row>
    <row r="319" spans="2:24" ht="15.75" customHeight="1" x14ac:dyDescent="0.25">
      <c r="C319" s="16" t="s">
        <v>28</v>
      </c>
      <c r="D319" s="67"/>
      <c r="E319" s="16"/>
      <c r="F319" s="16"/>
      <c r="G319" s="16"/>
      <c r="H319" s="16"/>
      <c r="I319" s="16"/>
      <c r="J319" s="16"/>
      <c r="K319" s="16"/>
      <c r="L319" s="16"/>
      <c r="M319" s="16" t="s">
        <v>39</v>
      </c>
      <c r="N319" s="15"/>
      <c r="O319" s="15"/>
      <c r="P319" s="15"/>
      <c r="Q319" s="15"/>
      <c r="R319" s="15"/>
      <c r="S319" s="15"/>
      <c r="T319" s="15"/>
      <c r="U319" s="20"/>
      <c r="V319" s="20"/>
      <c r="W319" s="20"/>
      <c r="X319" s="20"/>
    </row>
    <row r="320" spans="2:24" ht="15.75" customHeight="1" x14ac:dyDescent="0.25">
      <c r="C320" s="16" t="s">
        <v>31</v>
      </c>
      <c r="D320" s="67"/>
      <c r="E320" s="16"/>
      <c r="F320" s="16"/>
      <c r="G320" s="16"/>
      <c r="H320" s="16"/>
      <c r="I320" s="16"/>
      <c r="J320" s="16"/>
      <c r="K320" s="16"/>
      <c r="L320" s="16"/>
      <c r="M320" s="16" t="s">
        <v>40</v>
      </c>
      <c r="N320" s="15"/>
      <c r="O320" s="15"/>
      <c r="P320" s="15"/>
      <c r="Q320" s="15"/>
      <c r="R320" s="15"/>
      <c r="S320" s="15"/>
      <c r="T320" s="15"/>
      <c r="U320" s="20"/>
      <c r="V320" s="20"/>
      <c r="W320" s="20"/>
      <c r="X320" s="20"/>
    </row>
    <row r="321" spans="2:24" ht="15.75" x14ac:dyDescent="0.25">
      <c r="B321" s="20"/>
      <c r="C321" s="20"/>
      <c r="D321" s="68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</row>
  </sheetData>
  <mergeCells count="17">
    <mergeCell ref="B2:U2"/>
    <mergeCell ref="E4:K4"/>
    <mergeCell ref="L4:M5"/>
    <mergeCell ref="N4:O5"/>
    <mergeCell ref="P4:Q5"/>
    <mergeCell ref="R4:S5"/>
    <mergeCell ref="T4:U5"/>
    <mergeCell ref="E3:U3"/>
    <mergeCell ref="B3:B6"/>
    <mergeCell ref="C3:C6"/>
    <mergeCell ref="D3:D5"/>
    <mergeCell ref="B308:U308"/>
    <mergeCell ref="B8:U8"/>
    <mergeCell ref="B129:U129"/>
    <mergeCell ref="B305:U305"/>
    <mergeCell ref="W4:W5"/>
    <mergeCell ref="V4:V5"/>
  </mergeCells>
  <pageMargins left="0.78740157480314965" right="0.39370078740157483" top="0.78740157480314965" bottom="0.39370078740157483" header="0.31496062992125984" footer="0.31496062992125984"/>
  <pageSetup paperSize="9" scale="43" orientation="landscape" r:id="rId1"/>
  <rowBreaks count="1" manualBreakCount="1">
    <brk id="64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view="pageBreakPreview" zoomScaleNormal="85" zoomScaleSheetLayoutView="100" workbookViewId="0">
      <selection activeCell="C3" sqref="C3"/>
    </sheetView>
  </sheetViews>
  <sheetFormatPr defaultRowHeight="15" x14ac:dyDescent="0.25"/>
  <cols>
    <col min="1" max="1" width="15.42578125" style="131" customWidth="1"/>
    <col min="2" max="2" width="5.7109375" customWidth="1"/>
    <col min="3" max="3" width="26.7109375" style="131" customWidth="1"/>
    <col min="4" max="4" width="17.85546875" customWidth="1"/>
    <col min="5" max="5" width="19.42578125" customWidth="1"/>
    <col min="8" max="8" width="14.140625" customWidth="1"/>
    <col min="9" max="9" width="8.85546875" hidden="1" customWidth="1"/>
    <col min="10" max="10" width="12.42578125" customWidth="1"/>
    <col min="12" max="12" width="58.7109375" customWidth="1"/>
  </cols>
  <sheetData>
    <row r="1" spans="2:13" x14ac:dyDescent="0.25">
      <c r="G1" s="21"/>
      <c r="H1" s="21"/>
      <c r="I1" s="21"/>
      <c r="J1" s="21"/>
      <c r="K1" s="21"/>
      <c r="L1" s="21"/>
    </row>
    <row r="2" spans="2:13" s="131" customFormat="1" x14ac:dyDescent="0.25">
      <c r="G2" s="21"/>
      <c r="H2" s="21"/>
      <c r="I2" s="21"/>
      <c r="J2" s="21"/>
      <c r="K2" s="21"/>
      <c r="L2" s="21"/>
    </row>
    <row r="3" spans="2:13" s="131" customFormat="1" x14ac:dyDescent="0.25">
      <c r="G3" s="21"/>
      <c r="H3" s="21"/>
      <c r="I3" s="21"/>
      <c r="J3" s="21"/>
      <c r="K3" s="21"/>
      <c r="L3" s="21"/>
    </row>
    <row r="4" spans="2:13" s="131" customFormat="1" x14ac:dyDescent="0.25">
      <c r="G4" s="21"/>
      <c r="H4" s="21"/>
      <c r="I4" s="21"/>
      <c r="J4" s="21"/>
      <c r="K4" s="21"/>
      <c r="L4" s="21"/>
    </row>
    <row r="5" spans="2:13" ht="16.5" thickBot="1" x14ac:dyDescent="0.3">
      <c r="B5" s="294" t="s">
        <v>34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</row>
    <row r="6" spans="2:13" ht="34.5" customHeight="1" x14ac:dyDescent="0.25">
      <c r="B6" s="295" t="s">
        <v>0</v>
      </c>
      <c r="C6" s="300" t="s">
        <v>212</v>
      </c>
      <c r="D6" s="298" t="s">
        <v>167</v>
      </c>
      <c r="E6" s="298" t="s">
        <v>7</v>
      </c>
      <c r="F6" s="267" t="s">
        <v>35</v>
      </c>
      <c r="G6" s="303"/>
      <c r="H6" s="303"/>
      <c r="I6" s="303"/>
      <c r="J6" s="304"/>
      <c r="K6" s="267" t="s">
        <v>8</v>
      </c>
      <c r="L6" s="268"/>
    </row>
    <row r="7" spans="2:13" ht="45.75" customHeight="1" x14ac:dyDescent="0.25">
      <c r="B7" s="296"/>
      <c r="C7" s="301"/>
      <c r="D7" s="299"/>
      <c r="E7" s="299"/>
      <c r="F7" s="269"/>
      <c r="G7" s="305"/>
      <c r="H7" s="305"/>
      <c r="I7" s="305"/>
      <c r="J7" s="306"/>
      <c r="K7" s="269" t="s">
        <v>36</v>
      </c>
      <c r="L7" s="270" t="s">
        <v>37</v>
      </c>
    </row>
    <row r="8" spans="2:13" ht="16.5" customHeight="1" thickBot="1" x14ac:dyDescent="0.3">
      <c r="B8" s="297"/>
      <c r="C8" s="302"/>
      <c r="D8" s="40" t="s">
        <v>33</v>
      </c>
      <c r="E8" s="39" t="s">
        <v>20</v>
      </c>
      <c r="F8" s="271" t="s">
        <v>32</v>
      </c>
      <c r="G8" s="307"/>
      <c r="H8" s="307"/>
      <c r="I8" s="307"/>
      <c r="J8" s="308"/>
      <c r="K8" s="271" t="s">
        <v>21</v>
      </c>
      <c r="L8" s="272" t="s">
        <v>21</v>
      </c>
    </row>
    <row r="9" spans="2:13" ht="15.75" thickBot="1" x14ac:dyDescent="0.3">
      <c r="B9" s="145">
        <v>1</v>
      </c>
      <c r="C9" s="146">
        <v>2</v>
      </c>
      <c r="D9" s="147">
        <v>3</v>
      </c>
      <c r="E9" s="147">
        <v>4</v>
      </c>
      <c r="F9" s="273">
        <v>5</v>
      </c>
      <c r="G9" s="286"/>
      <c r="H9" s="286"/>
      <c r="I9" s="286"/>
      <c r="J9" s="287"/>
      <c r="K9" s="273">
        <v>6</v>
      </c>
      <c r="L9" s="274">
        <v>10</v>
      </c>
    </row>
    <row r="10" spans="2:13" x14ac:dyDescent="0.25">
      <c r="B10" s="278" t="s">
        <v>148</v>
      </c>
      <c r="C10" s="279"/>
      <c r="D10" s="280"/>
      <c r="E10" s="280"/>
      <c r="F10" s="237"/>
      <c r="G10" s="237"/>
      <c r="H10" s="237"/>
      <c r="I10" s="237"/>
      <c r="J10" s="237"/>
      <c r="K10" s="280"/>
      <c r="L10" s="281"/>
    </row>
    <row r="11" spans="2:13" ht="30.75" customHeight="1" x14ac:dyDescent="0.25">
      <c r="B11" s="38" t="s">
        <v>56</v>
      </c>
      <c r="C11" s="139" t="s">
        <v>213</v>
      </c>
      <c r="D11" s="41">
        <v>635496.67000000004</v>
      </c>
      <c r="E11" s="176">
        <v>24826</v>
      </c>
      <c r="F11" s="288">
        <v>119</v>
      </c>
      <c r="G11" s="289">
        <v>0</v>
      </c>
      <c r="H11" s="289">
        <v>0</v>
      </c>
      <c r="I11" s="289">
        <v>87</v>
      </c>
      <c r="J11" s="290">
        <v>87</v>
      </c>
      <c r="K11" s="275">
        <v>543990587.12</v>
      </c>
      <c r="L11" s="276"/>
    </row>
    <row r="12" spans="2:13" x14ac:dyDescent="0.25">
      <c r="B12" s="282" t="s">
        <v>152</v>
      </c>
      <c r="C12" s="279"/>
      <c r="D12" s="280"/>
      <c r="E12" s="280"/>
      <c r="F12" s="237"/>
      <c r="G12" s="237"/>
      <c r="H12" s="237"/>
      <c r="I12" s="237"/>
      <c r="J12" s="237"/>
      <c r="K12" s="280"/>
      <c r="L12" s="281"/>
    </row>
    <row r="13" spans="2:13" ht="30.75" customHeight="1" x14ac:dyDescent="0.25">
      <c r="B13" s="140" t="s">
        <v>56</v>
      </c>
      <c r="C13" s="141" t="s">
        <v>213</v>
      </c>
      <c r="D13" s="41">
        <v>805052.46</v>
      </c>
      <c r="E13" s="173">
        <v>31463</v>
      </c>
      <c r="F13" s="291">
        <v>173</v>
      </c>
      <c r="G13" s="292">
        <v>0</v>
      </c>
      <c r="H13" s="292">
        <v>0</v>
      </c>
      <c r="I13" s="292">
        <v>0</v>
      </c>
      <c r="J13" s="293">
        <v>0</v>
      </c>
      <c r="K13" s="275">
        <v>829484620</v>
      </c>
      <c r="L13" s="276">
        <v>0</v>
      </c>
    </row>
    <row r="14" spans="2:13" ht="15.75" customHeight="1" x14ac:dyDescent="0.25">
      <c r="B14" s="282" t="s">
        <v>153</v>
      </c>
      <c r="C14" s="283"/>
      <c r="D14" s="284"/>
      <c r="E14" s="284"/>
      <c r="F14" s="284"/>
      <c r="G14" s="284"/>
      <c r="H14" s="284"/>
      <c r="I14" s="284"/>
      <c r="J14" s="284"/>
      <c r="K14" s="284"/>
      <c r="L14" s="285"/>
    </row>
    <row r="15" spans="2:13" ht="30.75" customHeight="1" thickBot="1" x14ac:dyDescent="0.3">
      <c r="B15" s="142" t="s">
        <v>56</v>
      </c>
      <c r="C15" s="143" t="s">
        <v>213</v>
      </c>
      <c r="D15" s="144">
        <v>0</v>
      </c>
      <c r="E15" s="144">
        <v>0</v>
      </c>
      <c r="F15" s="264">
        <v>0</v>
      </c>
      <c r="G15" s="265">
        <v>0</v>
      </c>
      <c r="H15" s="265">
        <v>0</v>
      </c>
      <c r="I15" s="265">
        <v>0</v>
      </c>
      <c r="J15" s="266">
        <v>0</v>
      </c>
      <c r="K15" s="264">
        <v>0</v>
      </c>
      <c r="L15" s="277">
        <v>0</v>
      </c>
    </row>
    <row r="16" spans="2:13" ht="30.75" customHeight="1" x14ac:dyDescent="0.25">
      <c r="B16" s="120"/>
      <c r="C16" s="120"/>
      <c r="D16" s="121"/>
      <c r="E16" s="22"/>
      <c r="F16" s="22"/>
      <c r="G16" s="22"/>
      <c r="H16" s="22"/>
      <c r="I16" s="22"/>
      <c r="J16" s="22"/>
      <c r="K16" s="22"/>
      <c r="L16" s="23"/>
      <c r="M16" s="149" t="s">
        <v>217</v>
      </c>
    </row>
    <row r="17" spans="2:25" s="24" customFormat="1" ht="15.75" customHeight="1" x14ac:dyDescent="0.35">
      <c r="B17" s="8" t="s">
        <v>163</v>
      </c>
      <c r="C17" s="8"/>
      <c r="D17" s="8"/>
      <c r="E17" s="9"/>
      <c r="F17" s="9"/>
      <c r="G17" s="9"/>
      <c r="H17" s="9"/>
      <c r="I17" s="9"/>
      <c r="J17" s="9"/>
      <c r="K17" s="9"/>
      <c r="L17" s="9"/>
      <c r="M17" s="11"/>
      <c r="N17" s="12"/>
      <c r="O17" s="11"/>
      <c r="P17" s="12"/>
      <c r="Q17" s="11"/>
      <c r="S17"/>
      <c r="T17"/>
      <c r="U17"/>
      <c r="V17"/>
      <c r="W17"/>
      <c r="X17" s="25"/>
    </row>
    <row r="18" spans="2:25" s="24" customFormat="1" ht="15.75" customHeight="1" x14ac:dyDescent="0.35">
      <c r="B18" s="13" t="s">
        <v>49</v>
      </c>
      <c r="C18" s="13"/>
      <c r="D18" s="14"/>
      <c r="E18" s="14"/>
      <c r="F18" s="14"/>
      <c r="G18" s="14" t="s">
        <v>168</v>
      </c>
      <c r="H18" s="14"/>
      <c r="I18" s="10"/>
      <c r="J18" s="13" t="s">
        <v>164</v>
      </c>
      <c r="K18" s="13"/>
      <c r="L18" s="14"/>
      <c r="M18" s="14"/>
      <c r="N18" s="14"/>
      <c r="O18" s="14"/>
      <c r="S18" s="12"/>
      <c r="T18" s="11"/>
      <c r="U18" s="11"/>
      <c r="V18" s="20"/>
      <c r="W18" s="20"/>
      <c r="X18" s="26"/>
      <c r="Y18" s="26"/>
    </row>
    <row r="19" spans="2:25" s="24" customFormat="1" ht="15.75" customHeight="1" x14ac:dyDescent="0.35">
      <c r="B19" s="8"/>
      <c r="C19" s="8"/>
      <c r="D19" s="8"/>
      <c r="E19" s="9"/>
      <c r="F19" s="9"/>
      <c r="G19" s="9"/>
      <c r="H19" s="9"/>
      <c r="I19" s="9"/>
      <c r="J19" s="9"/>
      <c r="K19" s="122"/>
      <c r="L19" s="11"/>
      <c r="M19" s="11"/>
      <c r="N19" s="12"/>
      <c r="O19" s="11"/>
      <c r="S19" s="14"/>
      <c r="T19" s="14"/>
      <c r="U19" s="14"/>
      <c r="V19" s="20"/>
      <c r="W19" s="20"/>
      <c r="X19" s="25"/>
    </row>
    <row r="20" spans="2:25" s="24" customFormat="1" ht="15.75" customHeight="1" x14ac:dyDescent="0.3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S20" s="12"/>
      <c r="T20" s="11"/>
      <c r="U20" s="11"/>
      <c r="V20" s="20"/>
      <c r="W20" s="20"/>
      <c r="X20" s="26"/>
      <c r="Y20" s="26"/>
    </row>
    <row r="21" spans="2:25" s="24" customFormat="1" ht="15.75" customHeight="1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S21" s="20"/>
      <c r="T21" s="20"/>
      <c r="U21" s="20"/>
      <c r="V21" s="20"/>
      <c r="W21" s="20"/>
    </row>
    <row r="22" spans="2:25" s="24" customFormat="1" ht="15.75" customHeight="1" x14ac:dyDescent="0.35">
      <c r="B22" s="16" t="s">
        <v>27</v>
      </c>
      <c r="C22" s="16"/>
      <c r="D22" s="16"/>
      <c r="E22" s="16"/>
      <c r="F22" s="16"/>
      <c r="G22" s="16"/>
      <c r="H22" s="16"/>
      <c r="I22" s="16"/>
      <c r="J22" s="16" t="s">
        <v>27</v>
      </c>
      <c r="L22" s="15"/>
      <c r="M22" s="15"/>
      <c r="N22" s="15"/>
      <c r="O22" s="15"/>
      <c r="S22" s="20"/>
      <c r="T22" s="20"/>
      <c r="U22" s="20"/>
      <c r="V22" s="20"/>
      <c r="W22" s="20"/>
      <c r="X22" s="26"/>
      <c r="Y22" s="26"/>
    </row>
    <row r="23" spans="2:25" ht="15.75" customHeight="1" x14ac:dyDescent="0.25">
      <c r="B23" s="16" t="s">
        <v>28</v>
      </c>
      <c r="C23" s="16"/>
      <c r="D23" s="16"/>
      <c r="E23" s="16"/>
      <c r="F23" s="16"/>
      <c r="G23" s="16"/>
      <c r="H23" s="16"/>
      <c r="I23" s="16"/>
      <c r="J23" s="16" t="s">
        <v>39</v>
      </c>
      <c r="L23" s="15"/>
      <c r="M23" s="15"/>
      <c r="N23" s="15"/>
      <c r="O23" s="15"/>
      <c r="S23" s="20"/>
      <c r="T23" s="20"/>
      <c r="U23" s="20"/>
      <c r="V23" s="20"/>
      <c r="W23" s="20"/>
    </row>
    <row r="24" spans="2:25" ht="15.75" customHeight="1" x14ac:dyDescent="0.25">
      <c r="B24" s="16" t="s">
        <v>31</v>
      </c>
      <c r="C24" s="16"/>
      <c r="D24" s="16"/>
      <c r="E24" s="16"/>
      <c r="F24" s="16"/>
      <c r="G24" s="16"/>
      <c r="H24" s="16"/>
      <c r="I24" s="16"/>
      <c r="J24" s="16" t="s">
        <v>40</v>
      </c>
      <c r="L24" s="15"/>
      <c r="M24" s="15"/>
      <c r="N24" s="15"/>
      <c r="O24" s="15"/>
      <c r="S24" s="20"/>
      <c r="T24" s="20"/>
      <c r="U24" s="20"/>
      <c r="V24" s="20"/>
      <c r="W24" s="20"/>
    </row>
    <row r="25" spans="2:25" ht="15.75" x14ac:dyDescent="0.25"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2:25" ht="15.75" x14ac:dyDescent="0.25">
      <c r="M26" s="27"/>
      <c r="N26" s="27"/>
      <c r="O26" s="27"/>
    </row>
  </sheetData>
  <mergeCells count="20">
    <mergeCell ref="B5:L5"/>
    <mergeCell ref="B6:B8"/>
    <mergeCell ref="D6:D7"/>
    <mergeCell ref="E6:E7"/>
    <mergeCell ref="C6:C8"/>
    <mergeCell ref="F6:J7"/>
    <mergeCell ref="F8:J8"/>
    <mergeCell ref="F15:J15"/>
    <mergeCell ref="K6:L7"/>
    <mergeCell ref="K8:L8"/>
    <mergeCell ref="K9:L9"/>
    <mergeCell ref="K13:L13"/>
    <mergeCell ref="K15:L15"/>
    <mergeCell ref="K11:L11"/>
    <mergeCell ref="B10:L10"/>
    <mergeCell ref="B12:L12"/>
    <mergeCell ref="B14:L14"/>
    <mergeCell ref="F9:J9"/>
    <mergeCell ref="F11:J11"/>
    <mergeCell ref="F13:J13"/>
  </mergeCells>
  <pageMargins left="0.70866141732283461" right="0.39370078740157483" top="0.78740157480314965" bottom="0.3937007874015748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Часть 1</vt:lpstr>
      <vt:lpstr>Часть 2</vt:lpstr>
      <vt:lpstr>Часть 3</vt:lpstr>
      <vt:lpstr>'Часть 1'!Область_печати</vt:lpstr>
      <vt:lpstr>'Часть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Геннадьевна Мунина</dc:creator>
  <cp:lastModifiedBy>Ким Екатерина Игоревна</cp:lastModifiedBy>
  <cp:lastPrinted>2017-12-15T09:45:18Z</cp:lastPrinted>
  <dcterms:created xsi:type="dcterms:W3CDTF">2014-05-06T05:36:05Z</dcterms:created>
  <dcterms:modified xsi:type="dcterms:W3CDTF">2018-01-10T08:15:35Z</dcterms:modified>
</cp:coreProperties>
</file>